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4115" activeTab="2"/>
  </bookViews>
  <sheets>
    <sheet name="Property Info" sheetId="2" r:id="rId1"/>
    <sheet name="Expenditures" sheetId="3" r:id="rId2"/>
    <sheet name="Funding Plan" sheetId="4" r:id="rId3"/>
  </sheets>
  <definedNames>
    <definedName name="Beginning_Reserve_Balance">'Property Info'!$B$14</definedName>
    <definedName name="Client_City">'Property Info'!$B$3</definedName>
    <definedName name="Client_Long">'Property Info'!$B$2</definedName>
    <definedName name="Client_State">'Property Info'!$B$4</definedName>
    <definedName name="comprises" localSheetId="2">'Funding Plan'!$A$57</definedName>
    <definedName name="Current_Fiscal_Year">'Property Info'!$B$10</definedName>
    <definedName name="Current_Reserve_Contributions">'Property Info'!$B$15</definedName>
    <definedName name="Date_of_Inspection">'Property Info'!$B$9</definedName>
    <definedName name="expenditures" localSheetId="1">Expenditures!$Q$52</definedName>
    <definedName name="expenditures0" localSheetId="1">Expenditures!$R$52</definedName>
    <definedName name="expenditures1" localSheetId="1">Expenditures!$S$52</definedName>
    <definedName name="expenditures10" localSheetId="1">Expenditures!$AB$52</definedName>
    <definedName name="expenditures11" localSheetId="1">Expenditures!$AC$52</definedName>
    <definedName name="expenditures12" localSheetId="1">Expenditures!$AD$52</definedName>
    <definedName name="expenditures13" localSheetId="1">Expenditures!$AE$52</definedName>
    <definedName name="expenditures14" localSheetId="1">Expenditures!$AF$52</definedName>
    <definedName name="expenditures15" localSheetId="1">Expenditures!$AG$52</definedName>
    <definedName name="expenditures16" localSheetId="1">Expenditures!$AH$52</definedName>
    <definedName name="expenditures17" localSheetId="1">Expenditures!$AI$52</definedName>
    <definedName name="expenditures18" localSheetId="1">Expenditures!$AJ$52</definedName>
    <definedName name="expenditures19" localSheetId="1">Expenditures!$AK$52</definedName>
    <definedName name="expenditures2" localSheetId="1">Expenditures!$T$52</definedName>
    <definedName name="expenditures20" localSheetId="1">Expenditures!$AL$52</definedName>
    <definedName name="expenditures21" localSheetId="1">Expenditures!$AM$52</definedName>
    <definedName name="expenditures22" localSheetId="1">Expenditures!$AN$52</definedName>
    <definedName name="expenditures23" localSheetId="1">Expenditures!$AO$52</definedName>
    <definedName name="expenditures24" localSheetId="1">Expenditures!$AP$52</definedName>
    <definedName name="expenditures25" localSheetId="1">Expenditures!$AQ$52</definedName>
    <definedName name="expenditures26" localSheetId="1">Expenditures!$AR$52</definedName>
    <definedName name="expenditures27" localSheetId="1">Expenditures!$AS$52</definedName>
    <definedName name="expenditures28" localSheetId="1">Expenditures!$AT$52</definedName>
    <definedName name="expenditures29" localSheetId="1">Expenditures!$AU$52</definedName>
    <definedName name="expenditures3" localSheetId="1">Expenditures!$U$52</definedName>
    <definedName name="expenditures30" localSheetId="1">Expenditures!$AV$52</definedName>
    <definedName name="expenditures4" localSheetId="1">Expenditures!$V$52</definedName>
    <definedName name="expenditures5" localSheetId="1">Expenditures!$W$52</definedName>
    <definedName name="expenditures6" localSheetId="1">Expenditures!$X$52</definedName>
    <definedName name="expenditures7" localSheetId="1">Expenditures!$Y$52</definedName>
    <definedName name="expenditures8" localSheetId="1">Expenditures!$Z$52</definedName>
    <definedName name="expenditures9" localSheetId="1">Expenditures!$AA$52</definedName>
    <definedName name="First_Year_of_Recommendation">'Property Info'!$B$12</definedName>
    <definedName name="Fiscal_Year_Beginning">'Property Info'!$B$11</definedName>
    <definedName name="Frequency_of_Contributions_Number">'Property Info'!$B$18</definedName>
    <definedName name="inflation" localSheetId="1">Expenditures!$S$4</definedName>
    <definedName name="Inflation">'Property Info'!$B$16</definedName>
    <definedName name="Interest" localSheetId="2">'Funding Plan'!$B$44</definedName>
    <definedName name="Interest">'Property Info'!$B$17</definedName>
    <definedName name="Number_of_Buildings">'Property Info'!$B$8</definedName>
    <definedName name="Number_of_Units">'Property Info'!$B$7</definedName>
    <definedName name="_xlnm.Print_Area" localSheetId="1">Expenditures!$A:$AQ</definedName>
    <definedName name="_xlnm.Print_Titles" localSheetId="1">Expenditures!$A:$A,Expenditures!$1:$10</definedName>
    <definedName name="Reference_Number">'Property Info'!$B$5</definedName>
    <definedName name="Remaining_Budgeted_Months">'Property Info'!$B$13</definedName>
    <definedName name="Study_Length">'Property Info'!$B$6</definedName>
    <definedName name="version">'Property Info'!$B$1</definedName>
  </definedNames>
  <calcPr calcId="145621"/>
</workbook>
</file>

<file path=xl/calcChain.xml><?xml version="1.0" encoding="utf-8"?>
<calcChain xmlns="http://schemas.openxmlformats.org/spreadsheetml/2006/main">
  <c r="K3" i="4" l="1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E15" i="4" s="1"/>
  <c r="F7" i="4" s="1"/>
  <c r="B44" i="4"/>
  <c r="Q31" i="4" s="1"/>
  <c r="AI52" i="3"/>
  <c r="AE52" i="3"/>
  <c r="AC52" i="3"/>
  <c r="AB52" i="3"/>
  <c r="Y52" i="3"/>
  <c r="W52" i="3"/>
  <c r="U52" i="3"/>
  <c r="R52" i="3"/>
  <c r="P50" i="3"/>
  <c r="P49" i="3"/>
  <c r="P48" i="3"/>
  <c r="P47" i="3"/>
  <c r="P46" i="3"/>
  <c r="P45" i="3"/>
  <c r="P42" i="3"/>
  <c r="P41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6" i="3"/>
  <c r="P15" i="3"/>
  <c r="P14" i="3"/>
  <c r="P13" i="3"/>
  <c r="P12" i="3"/>
  <c r="O50" i="3"/>
  <c r="O49" i="3"/>
  <c r="O48" i="3"/>
  <c r="O47" i="3"/>
  <c r="O46" i="3"/>
  <c r="O45" i="3"/>
  <c r="O42" i="3"/>
  <c r="O41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6" i="3"/>
  <c r="O15" i="3"/>
  <c r="O14" i="3"/>
  <c r="O13" i="3"/>
  <c r="O12" i="3"/>
  <c r="AP50" i="3"/>
  <c r="AF50" i="3"/>
  <c r="V50" i="3"/>
  <c r="Q50" i="3" s="1"/>
  <c r="AM49" i="3"/>
  <c r="Q49" i="3" s="1"/>
  <c r="AU48" i="3"/>
  <c r="AN48" i="3"/>
  <c r="AN52" i="3" s="1"/>
  <c r="AG48" i="3"/>
  <c r="Z48" i="3"/>
  <c r="Q48" i="3" s="1"/>
  <c r="AK47" i="3"/>
  <c r="Q47" i="3" s="1"/>
  <c r="AR46" i="3"/>
  <c r="AH46" i="3"/>
  <c r="X46" i="3"/>
  <c r="Q46" i="3" s="1"/>
  <c r="AU45" i="3"/>
  <c r="AK45" i="3"/>
  <c r="AA45" i="3"/>
  <c r="Q45" i="3" s="1"/>
  <c r="AP42" i="3"/>
  <c r="Q42" i="3" s="1"/>
  <c r="AK41" i="3"/>
  <c r="Q41" i="3" s="1"/>
  <c r="AV38" i="3"/>
  <c r="AD38" i="3"/>
  <c r="Q38" i="3" s="1"/>
  <c r="AU37" i="3"/>
  <c r="Q37" i="3" s="1"/>
  <c r="AT36" i="3"/>
  <c r="AH36" i="3"/>
  <c r="Q36" i="3" s="1"/>
  <c r="AT35" i="3"/>
  <c r="AH35" i="3"/>
  <c r="Q35" i="3" s="1"/>
  <c r="AK34" i="3"/>
  <c r="Q34" i="3" s="1"/>
  <c r="AK33" i="3"/>
  <c r="V33" i="3"/>
  <c r="Q33" i="3" s="1"/>
  <c r="S32" i="3"/>
  <c r="S52" i="3" s="1"/>
  <c r="AO31" i="3"/>
  <c r="Q31" i="3" s="1"/>
  <c r="AF30" i="3"/>
  <c r="Q30" i="3" s="1"/>
  <c r="AP29" i="3"/>
  <c r="AF29" i="3"/>
  <c r="V29" i="3"/>
  <c r="Q29" i="3" s="1"/>
  <c r="AP28" i="3"/>
  <c r="AA28" i="3"/>
  <c r="Q28" i="3" s="1"/>
  <c r="AH27" i="3"/>
  <c r="Q27" i="3" s="1"/>
  <c r="AV26" i="3"/>
  <c r="AV52" i="3" s="1"/>
  <c r="AO26" i="3"/>
  <c r="AO52" i="3" s="1"/>
  <c r="AA26" i="3"/>
  <c r="AA52" i="3" s="1"/>
  <c r="T26" i="3"/>
  <c r="T52" i="3" s="1"/>
  <c r="AM25" i="3"/>
  <c r="AM52" i="3" s="1"/>
  <c r="AU24" i="3"/>
  <c r="AP24" i="3"/>
  <c r="AK24" i="3"/>
  <c r="AF24" i="3"/>
  <c r="Q24" i="3" s="1"/>
  <c r="AU23" i="3"/>
  <c r="AU52" i="3" s="1"/>
  <c r="AP23" i="3"/>
  <c r="AK23" i="3"/>
  <c r="AF23" i="3"/>
  <c r="AF52" i="3" s="1"/>
  <c r="AH22" i="3"/>
  <c r="Q22" i="3" s="1"/>
  <c r="AH21" i="3"/>
  <c r="Q21" i="3" s="1"/>
  <c r="AH20" i="3"/>
  <c r="Q20" i="3" s="1"/>
  <c r="AT19" i="3"/>
  <c r="AP19" i="3"/>
  <c r="AP52" i="3" s="1"/>
  <c r="AL19" i="3"/>
  <c r="AD19" i="3"/>
  <c r="AD52" i="3" s="1"/>
  <c r="Z19" i="3"/>
  <c r="V19" i="3"/>
  <c r="V52" i="3" s="1"/>
  <c r="AT16" i="3"/>
  <c r="AT52" i="3" s="1"/>
  <c r="AR16" i="3"/>
  <c r="AR52" i="3" s="1"/>
  <c r="AJ16" i="3"/>
  <c r="AH16" i="3"/>
  <c r="AH52" i="3" s="1"/>
  <c r="Z16" i="3"/>
  <c r="Z52" i="3" s="1"/>
  <c r="X16" i="3"/>
  <c r="X52" i="3" s="1"/>
  <c r="AQ15" i="3"/>
  <c r="AQ52" i="3" s="1"/>
  <c r="AG15" i="3"/>
  <c r="Q15" i="3" s="1"/>
  <c r="AS14" i="3"/>
  <c r="Q14" i="3" s="1"/>
  <c r="AL13" i="3"/>
  <c r="AK13" i="3"/>
  <c r="AJ13" i="3"/>
  <c r="Q13" i="3" s="1"/>
  <c r="AL12" i="3"/>
  <c r="AL52" i="3" s="1"/>
  <c r="AK12" i="3"/>
  <c r="AK52" i="3" s="1"/>
  <c r="AJ12" i="3"/>
  <c r="AJ52" i="3" s="1"/>
  <c r="J50" i="3"/>
  <c r="L50" i="3" s="1"/>
  <c r="J49" i="3"/>
  <c r="L49" i="3" s="1"/>
  <c r="J48" i="3"/>
  <c r="L48" i="3" s="1"/>
  <c r="J47" i="3"/>
  <c r="L47" i="3" s="1"/>
  <c r="J46" i="3"/>
  <c r="L46" i="3" s="1"/>
  <c r="J45" i="3"/>
  <c r="L45" i="3" s="1"/>
  <c r="J42" i="3"/>
  <c r="L42" i="3" s="1"/>
  <c r="J41" i="3"/>
  <c r="L41" i="3" s="1"/>
  <c r="J38" i="3"/>
  <c r="L38" i="3" s="1"/>
  <c r="J37" i="3"/>
  <c r="L37" i="3" s="1"/>
  <c r="J36" i="3"/>
  <c r="L36" i="3" s="1"/>
  <c r="J35" i="3"/>
  <c r="L35" i="3" s="1"/>
  <c r="J34" i="3"/>
  <c r="L34" i="3" s="1"/>
  <c r="J33" i="3"/>
  <c r="L33" i="3" s="1"/>
  <c r="J32" i="3"/>
  <c r="L32" i="3" s="1"/>
  <c r="J31" i="3"/>
  <c r="L31" i="3" s="1"/>
  <c r="J30" i="3"/>
  <c r="L30" i="3" s="1"/>
  <c r="J29" i="3"/>
  <c r="L29" i="3" s="1"/>
  <c r="J28" i="3"/>
  <c r="L28" i="3" s="1"/>
  <c r="J27" i="3"/>
  <c r="L27" i="3" s="1"/>
  <c r="J26" i="3"/>
  <c r="L26" i="3" s="1"/>
  <c r="J25" i="3"/>
  <c r="L25" i="3" s="1"/>
  <c r="J24" i="3"/>
  <c r="L24" i="3" s="1"/>
  <c r="J23" i="3"/>
  <c r="L23" i="3" s="1"/>
  <c r="J22" i="3"/>
  <c r="L22" i="3" s="1"/>
  <c r="J21" i="3"/>
  <c r="L21" i="3" s="1"/>
  <c r="J20" i="3"/>
  <c r="L20" i="3" s="1"/>
  <c r="J19" i="3"/>
  <c r="L19" i="3" s="1"/>
  <c r="J16" i="3"/>
  <c r="L16" i="3" s="1"/>
  <c r="J15" i="3"/>
  <c r="L15" i="3" s="1"/>
  <c r="J14" i="3"/>
  <c r="L14" i="3" s="1"/>
  <c r="J13" i="3"/>
  <c r="L13" i="3" s="1"/>
  <c r="J12" i="3"/>
  <c r="L12" i="3" s="1"/>
  <c r="G11" i="4" l="1"/>
  <c r="O11" i="4"/>
  <c r="P31" i="4"/>
  <c r="L11" i="4"/>
  <c r="E11" i="4"/>
  <c r="I11" i="4"/>
  <c r="M11" i="4"/>
  <c r="Q11" i="4"/>
  <c r="F31" i="4"/>
  <c r="J31" i="4"/>
  <c r="N31" i="4"/>
  <c r="R31" i="4"/>
  <c r="F11" i="4"/>
  <c r="F12" i="4" s="1"/>
  <c r="F15" i="4" s="1"/>
  <c r="G7" i="4" s="1"/>
  <c r="J11" i="4"/>
  <c r="N11" i="4"/>
  <c r="R11" i="4"/>
  <c r="G31" i="4"/>
  <c r="K31" i="4"/>
  <c r="O31" i="4"/>
  <c r="S31" i="4"/>
  <c r="K11" i="4"/>
  <c r="S11" i="4"/>
  <c r="H31" i="4"/>
  <c r="T31" i="4"/>
  <c r="L31" i="4"/>
  <c r="H11" i="4"/>
  <c r="P11" i="4"/>
  <c r="T11" i="4"/>
  <c r="I31" i="4"/>
  <c r="M31" i="4"/>
  <c r="Q19" i="3"/>
  <c r="Q23" i="3"/>
  <c r="AG52" i="3"/>
  <c r="AS52" i="3"/>
  <c r="Q32" i="3"/>
  <c r="Q25" i="3"/>
  <c r="Q12" i="3"/>
  <c r="Q16" i="3"/>
  <c r="Q26" i="3"/>
  <c r="G12" i="4" l="1"/>
  <c r="G15" i="4" s="1"/>
  <c r="H7" i="4" s="1"/>
  <c r="Q52" i="3"/>
  <c r="H12" i="4" l="1"/>
  <c r="H15" i="4" s="1"/>
  <c r="I7" i="4" s="1"/>
  <c r="I12" i="4" l="1"/>
  <c r="I15" i="4" s="1"/>
  <c r="J7" i="4" s="1"/>
  <c r="J12" i="4" l="1"/>
  <c r="J15" i="4" s="1"/>
  <c r="K7" i="4" s="1"/>
  <c r="K12" i="4" l="1"/>
  <c r="K15" i="4" s="1"/>
  <c r="L7" i="4" s="1"/>
  <c r="L12" i="4" l="1"/>
  <c r="L15" i="4" s="1"/>
  <c r="M7" i="4" s="1"/>
  <c r="M12" i="4" l="1"/>
  <c r="M15" i="4" s="1"/>
  <c r="N7" i="4" s="1"/>
  <c r="N12" i="4" l="1"/>
  <c r="N15" i="4" s="1"/>
  <c r="O7" i="4" s="1"/>
  <c r="O12" i="4" l="1"/>
  <c r="O15" i="4" s="1"/>
  <c r="P7" i="4" s="1"/>
  <c r="P12" i="4" l="1"/>
  <c r="P15" i="4" s="1"/>
  <c r="Q7" i="4" s="1"/>
  <c r="Q12" i="4" l="1"/>
  <c r="Q15" i="4" s="1"/>
  <c r="R7" i="4" s="1"/>
  <c r="R12" i="4" l="1"/>
  <c r="R15" i="4" s="1"/>
  <c r="S7" i="4" s="1"/>
  <c r="S12" i="4" l="1"/>
  <c r="S15" i="4" s="1"/>
  <c r="T7" i="4" s="1"/>
  <c r="T12" i="4" l="1"/>
  <c r="T15" i="4" s="1"/>
  <c r="F27" i="4" s="1"/>
  <c r="F32" i="4" l="1"/>
  <c r="F35" i="4" s="1"/>
  <c r="G27" i="4" s="1"/>
  <c r="G32" i="4" l="1"/>
  <c r="G35" i="4" s="1"/>
  <c r="H27" i="4" s="1"/>
  <c r="H32" i="4" l="1"/>
  <c r="H35" i="4" s="1"/>
  <c r="I27" i="4" s="1"/>
  <c r="I35" i="4" l="1"/>
  <c r="J27" i="4" s="1"/>
  <c r="I32" i="4"/>
  <c r="J32" i="4" l="1"/>
  <c r="J35" i="4" s="1"/>
  <c r="K27" i="4" s="1"/>
  <c r="K32" i="4" l="1"/>
  <c r="K35" i="4" s="1"/>
  <c r="L27" i="4" s="1"/>
  <c r="L32" i="4" l="1"/>
  <c r="L35" i="4" s="1"/>
  <c r="M27" i="4" s="1"/>
  <c r="M32" i="4" l="1"/>
  <c r="M35" i="4" s="1"/>
  <c r="N27" i="4" s="1"/>
  <c r="N35" i="4" l="1"/>
  <c r="O27" i="4" s="1"/>
  <c r="N32" i="4"/>
  <c r="O32" i="4" l="1"/>
  <c r="O35" i="4" s="1"/>
  <c r="P27" i="4" s="1"/>
  <c r="P35" i="4" l="1"/>
  <c r="Q27" i="4" s="1"/>
  <c r="P32" i="4"/>
  <c r="Q32" i="4" l="1"/>
  <c r="Q35" i="4" s="1"/>
  <c r="R27" i="4" s="1"/>
  <c r="R35" i="4" l="1"/>
  <c r="S27" i="4" s="1"/>
  <c r="R32" i="4"/>
  <c r="S32" i="4" l="1"/>
  <c r="S35" i="4" s="1"/>
  <c r="T27" i="4" s="1"/>
  <c r="T32" i="4" l="1"/>
  <c r="T35" i="4" s="1"/>
</calcChain>
</file>

<file path=xl/sharedStrings.xml><?xml version="1.0" encoding="utf-8"?>
<sst xmlns="http://schemas.openxmlformats.org/spreadsheetml/2006/main" count="1355" uniqueCount="158">
  <si>
    <t>Version</t>
  </si>
  <si>
    <t>v4.0</t>
  </si>
  <si>
    <t>Name</t>
  </si>
  <si>
    <t>Townes at Thornblade Homeowners Association, Inc.</t>
  </si>
  <si>
    <t>City</t>
  </si>
  <si>
    <t>Greer</t>
  </si>
  <si>
    <t>State</t>
  </si>
  <si>
    <t>South Carolina</t>
  </si>
  <si>
    <t>Reference Number</t>
  </si>
  <si>
    <t>192288</t>
  </si>
  <si>
    <t>Length of Study (Years)</t>
  </si>
  <si>
    <t>Number of Units</t>
  </si>
  <si>
    <t>Number of Buildings</t>
  </si>
  <si>
    <t>Date of Inspection</t>
  </si>
  <si>
    <t>Current Fiscal Year</t>
  </si>
  <si>
    <t>Fiscal Year Beginning</t>
  </si>
  <si>
    <t>First Year of Recommendation</t>
  </si>
  <si>
    <t>Remaining Budgeted Months</t>
  </si>
  <si>
    <t>Beginning Reserve Balance</t>
  </si>
  <si>
    <t>Current Reserve Contributions</t>
  </si>
  <si>
    <t>Inflation</t>
  </si>
  <si>
    <t>Interest</t>
  </si>
  <si>
    <t>Frequency of Contributions</t>
  </si>
  <si>
    <t>Explanatory Notes:</t>
  </si>
  <si>
    <t>Inflation Calculation in Reserve Expenditures Table - To move an expenditure and automatically recalculate inflation, copy cell with expenditure (Years 0 to 30) and paste into desired cell.</t>
  </si>
  <si>
    <t>Change in Number of Phases - A change in the number of phases will require a manual adjustment to the "Per Phase Quantity" column.</t>
  </si>
  <si>
    <t/>
  </si>
  <si>
    <t>Years 2019 to 2034</t>
  </si>
  <si>
    <t>Years 2035 to 2049</t>
  </si>
  <si>
    <t>RESERVE EXPENDITURES</t>
  </si>
  <si>
    <t>Townes at Thornblade</t>
  </si>
  <si>
    <t>1)</t>
  </si>
  <si>
    <t>is the estimated Inflation Rate for estimating Future Replacement Costs.</t>
  </si>
  <si>
    <t>Homeowners Association, Inc.</t>
  </si>
  <si>
    <t>2)</t>
  </si>
  <si>
    <t>FY2019 is Fiscal Year beginning January 1, 2019 and ending December 31, 2019.</t>
  </si>
  <si>
    <t>Greer, South Carolina</t>
  </si>
  <si>
    <t xml:space="preserve"> </t>
  </si>
  <si>
    <t>Estimated</t>
  </si>
  <si>
    <t>Life Analysis,</t>
  </si>
  <si>
    <t>Costs, $</t>
  </si>
  <si>
    <t>Line</t>
  </si>
  <si>
    <t>Total</t>
  </si>
  <si>
    <t>Per Phase</t>
  </si>
  <si>
    <t>1st Year of</t>
  </si>
  <si>
    <t>Years</t>
  </si>
  <si>
    <t>Unit</t>
  </si>
  <si>
    <t>Percentage</t>
  </si>
  <si>
    <t>30-Year Total</t>
  </si>
  <si>
    <t>Item</t>
  </si>
  <si>
    <t>Quantity</t>
  </si>
  <si>
    <t>Units</t>
  </si>
  <si>
    <t>Reserve Component Inventory</t>
  </si>
  <si>
    <t>Event</t>
  </si>
  <si>
    <t>Useful</t>
  </si>
  <si>
    <t>Remaining</t>
  </si>
  <si>
    <t>(2019)</t>
  </si>
  <si>
    <t>Ownership</t>
  </si>
  <si>
    <t>(Inflated)</t>
  </si>
  <si>
    <t>-</t>
  </si>
  <si>
    <t>Exterior Building Elements</t>
  </si>
  <si>
    <t>Linear Feet</t>
  </si>
  <si>
    <t>Gutters and Downspouts, Aluminum, Phased</t>
  </si>
  <si>
    <t>15 to 20</t>
  </si>
  <si>
    <t>Squares</t>
  </si>
  <si>
    <t>Roofs, Asphalt Shingles, Phased</t>
  </si>
  <si>
    <t>Each</t>
  </si>
  <si>
    <t>Roofs, Metal</t>
  </si>
  <si>
    <t>to 30</t>
  </si>
  <si>
    <t>Square Feet</t>
  </si>
  <si>
    <t>Walls, Masonry, Inspections and Repairs</t>
  </si>
  <si>
    <t>8 to 12</t>
  </si>
  <si>
    <t>Allowance</t>
  </si>
  <si>
    <t>Walls, Siding, Fiber Cement, Paint Finishes, Phased</t>
  </si>
  <si>
    <t>8 to 10</t>
  </si>
  <si>
    <t>6 to 8</t>
  </si>
  <si>
    <t>Property Site Elements</t>
  </si>
  <si>
    <t>Square Yards</t>
  </si>
  <si>
    <t>Asphalt Pavement, Crack Repair and Patch</t>
  </si>
  <si>
    <t>3 to 5</t>
  </si>
  <si>
    <t>Asphalt Pavement, Mill and Overlay</t>
  </si>
  <si>
    <t>Catch Basins, Inspections and Capital Repairs</t>
  </si>
  <si>
    <t>Concrete Curbs and Gutters, Partial</t>
  </si>
  <si>
    <t>to 65</t>
  </si>
  <si>
    <t>Concrete Driveways, Partial</t>
  </si>
  <si>
    <t>Concrete Sidewalks and Porches, Partial</t>
  </si>
  <si>
    <t>Fences, Aluminum, Retaining Walls</t>
  </si>
  <si>
    <t>to 25</t>
  </si>
  <si>
    <t>Fences, Wood, Paint Finishes, Perimeter</t>
  </si>
  <si>
    <t>Fences, Wood, Perimeter</t>
  </si>
  <si>
    <t>Panel</t>
  </si>
  <si>
    <t>Gate Entry System</t>
  </si>
  <si>
    <t>10 to 15</t>
  </si>
  <si>
    <t>to 20</t>
  </si>
  <si>
    <t>Gate Operators</t>
  </si>
  <si>
    <t>to 10</t>
  </si>
  <si>
    <t>Gates</t>
  </si>
  <si>
    <t>Mailbox Stations</t>
  </si>
  <si>
    <t>Pipes, Subsurface Utilities</t>
  </si>
  <si>
    <t>Signage, Entrance Monument, Renovation</t>
  </si>
  <si>
    <t>N/A</t>
  </si>
  <si>
    <t>Pond, Erosion Control, Partial</t>
  </si>
  <si>
    <t>to 15</t>
  </si>
  <si>
    <t>Pond, Sediment Removal, Partial</t>
  </si>
  <si>
    <t>20 to 30</t>
  </si>
  <si>
    <t>Retaining Wall, Concrete, Inspection and Capital Repairs</t>
  </si>
  <si>
    <t>Retaining Walls, Masonry, Inspection and Capital Repairs, Greater Than Six Feet Tall</t>
  </si>
  <si>
    <t>Retaining Walls, Masonry, Less Than Six Feet Tall, Phased</t>
  </si>
  <si>
    <t>to 35</t>
  </si>
  <si>
    <t>Pool House Elements</t>
  </si>
  <si>
    <t>Rest Rooms, Renovation</t>
  </si>
  <si>
    <t>Roofs, Metal (Includes Gutters and Downspouts)</t>
  </si>
  <si>
    <t>Pool Elements</t>
  </si>
  <si>
    <t>Concrete Deck, Inspections, Partial Replacements and Repairs</t>
  </si>
  <si>
    <t>Cover, Vinyl</t>
  </si>
  <si>
    <t>Fence, Aluminum</t>
  </si>
  <si>
    <t>Mechanical Equipment, Phased</t>
  </si>
  <si>
    <t>Pergola, Wood</t>
  </si>
  <si>
    <t>Pool Finish, Plaster and Tile</t>
  </si>
  <si>
    <t>||</t>
  </si>
  <si>
    <t>Anticipated Expenditures, By Year</t>
  </si>
  <si>
    <t>Length</t>
  </si>
  <si>
    <t>Events</t>
  </si>
  <si>
    <t>Freq</t>
  </si>
  <si>
    <t>of Phase</t>
  </si>
  <si>
    <t>UL</t>
  </si>
  <si>
    <t>RESERVE FUNDING PLAN</t>
  </si>
  <si>
    <t>CASH FLOW ANALYSIS</t>
  </si>
  <si>
    <t>Individual Reserve Budgets &amp; Cash Flows for the Next 30 Years</t>
  </si>
  <si>
    <t>Reserves at Beginning of Year (Note 1)</t>
  </si>
  <si>
    <t>Plus</t>
  </si>
  <si>
    <t xml:space="preserve">           Recommended Reserve Contributions </t>
  </si>
  <si>
    <t>Additional Assessment</t>
  </si>
  <si>
    <t>Total Recommended Reserve Contributions (Note 2)</t>
  </si>
  <si>
    <t xml:space="preserve">           Anticipated Interest Rate</t>
  </si>
  <si>
    <t>Estimated Interest Earned, During Year (Note 3)</t>
  </si>
  <si>
    <t>Less</t>
  </si>
  <si>
    <t>Anticipated Reserves at Year End</t>
  </si>
  <si>
    <t>(continued)</t>
  </si>
  <si>
    <t>Individual Reserve Budgets &amp; Cash Flows for the Next 30 Years, Continued</t>
  </si>
  <si>
    <t>Reserves at Beginning of Year</t>
  </si>
  <si>
    <t xml:space="preserve">Total Recommended Reserve Contributions </t>
  </si>
  <si>
    <t>Estimated Interest Earned, During Year</t>
  </si>
  <si>
    <t>(NOTE 5)</t>
  </si>
  <si>
    <t>(NOTE 4)</t>
  </si>
  <si>
    <t xml:space="preserve">1) </t>
  </si>
  <si>
    <t>Year 2019 starting reserves are as of March 9, 2020; FY2019 starts January 1, 2019 and ends December 31, 2019.</t>
  </si>
  <si>
    <t xml:space="preserve">2) </t>
  </si>
  <si>
    <t>Reserve Contributions for 2019 are the remaining budgeted 10 months; 2020 is budgeted; 2021 is the first year of recommended contributions.</t>
  </si>
  <si>
    <t xml:space="preserve">3) </t>
  </si>
  <si>
    <t>is the estimated annual rate of return on invested reserves; 2019 is a partial year of interest earned.</t>
  </si>
  <si>
    <t xml:space="preserve">4) </t>
  </si>
  <si>
    <t>Accumulated year 2049 ending reserves considers subsequent roof replacements, the age, size, overall condition and complexity of the property.</t>
  </si>
  <si>
    <t xml:space="preserve">5) </t>
  </si>
  <si>
    <t>Threshold Funding Year (reserve balance at critical point).</t>
  </si>
  <si>
    <t>This funding plan comprises the following sheets:</t>
  </si>
  <si>
    <t>Expenditures</t>
  </si>
  <si>
    <t>To increase Reserve Contributions in any given year by inflation, copy the cell above and paste in the desired year in rows 8 and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</si>
</sst>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[$$-409]#,##0_);[Red]\([$$-409]#,##0\)"/>
    <numFmt numFmtId="165" formatCode="0.0%"/>
    <numFmt numFmtId="166" formatCode="&quot;RUL = &quot;0"/>
    <numFmt numFmtId="167" formatCode="&quot;FY&quot;0"/>
    <numFmt numFmtId="168" formatCode="0.000"/>
    <numFmt numFmtId="169" formatCode=";;;"/>
    <numFmt numFmtId="170" formatCode="&quot;$&quot;#,##0"/>
    <numFmt numFmtId="171" formatCode="&quot;FY&quot;0000"/>
    <numFmt numFmtId="172" formatCode="0;[Red]\-0"/>
    <numFmt numFmtId="173" formatCode="0_);[Red]\(0\)"/>
    <numFmt numFmtId="174" formatCode="#,##0;[Red]\-#,##0"/>
  </numFmts>
  <fonts count="36" x14ac:knownFonts="1">
    <font>
      <sz val="14"/>
      <color theme="1"/>
      <name val="Arial Narrow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sz val="12"/>
      <name val="Arial"/>
      <family val="2"/>
    </font>
    <font>
      <sz val="20"/>
      <color indexed="12"/>
      <name val="Arial"/>
      <family val="2"/>
    </font>
    <font>
      <u/>
      <sz val="12"/>
      <name val="Arial"/>
      <family val="2"/>
    </font>
    <font>
      <b/>
      <u/>
      <sz val="2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sz val="14"/>
      <name val="Arial"/>
      <family val="2"/>
    </font>
    <font>
      <b/>
      <u/>
      <sz val="14"/>
      <name val="Arial"/>
      <family val="2"/>
    </font>
    <font>
      <b/>
      <i/>
      <u/>
      <sz val="16"/>
      <color indexed="8"/>
      <name val="Arial"/>
      <family val="2"/>
    </font>
    <font>
      <sz val="14"/>
      <color indexed="8"/>
      <name val="Arial Narrow"/>
      <family val="2"/>
    </font>
    <font>
      <b/>
      <sz val="18"/>
      <name val="Arial Narrow"/>
      <family val="2"/>
    </font>
    <font>
      <sz val="10"/>
      <name val="Arial Narrow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indexed="8"/>
      <name val="Arial"/>
      <family val="2"/>
    </font>
    <font>
      <b/>
      <u/>
      <sz val="14"/>
      <name val="Arial Narrow"/>
      <family val="2"/>
    </font>
    <font>
      <b/>
      <sz val="14"/>
      <name val="Arial Narrow"/>
      <family val="2"/>
    </font>
    <font>
      <sz val="16"/>
      <name val="Arial Narrow"/>
      <family val="2"/>
    </font>
    <font>
      <b/>
      <sz val="16"/>
      <color indexed="8"/>
      <name val="Arial Narrow"/>
      <family val="2"/>
    </font>
    <font>
      <b/>
      <sz val="14"/>
      <color indexed="8"/>
      <name val="Arial Narrow"/>
      <family val="2"/>
    </font>
    <font>
      <sz val="24"/>
      <name val="Arial"/>
      <family val="2"/>
    </font>
    <font>
      <sz val="12"/>
      <color rgb="FFFF0000"/>
      <name val="Arial"/>
      <family val="2"/>
    </font>
    <font>
      <b/>
      <sz val="14"/>
      <color indexed="12"/>
      <name val="Arial Narrow"/>
      <family val="2"/>
    </font>
    <font>
      <u/>
      <sz val="14"/>
      <name val="Arial Narrow"/>
      <family val="2"/>
    </font>
    <font>
      <u val="double"/>
      <sz val="14"/>
      <name val="Arial Narrow"/>
      <family val="2"/>
    </font>
    <font>
      <b/>
      <sz val="13"/>
      <name val="Arial Narrow"/>
      <family val="2"/>
    </font>
    <font>
      <sz val="9"/>
      <name val="Arial"/>
      <family val="2"/>
    </font>
    <font>
      <sz val="14"/>
      <color indexed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rgb="FFCCFFCC"/>
        <bgColor indexed="9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49" fontId="0" fillId="0" borderId="0" xfId="0" applyNumberFormat="1"/>
    <xf numFmtId="14" fontId="0" fillId="0" borderId="0" xfId="0" applyNumberFormat="1"/>
    <xf numFmtId="7" fontId="0" fillId="0" borderId="0" xfId="0" applyNumberFormat="1"/>
    <xf numFmtId="0" fontId="2" fillId="0" borderId="0" xfId="0" applyFont="1"/>
    <xf numFmtId="0" fontId="3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Continuous"/>
    </xf>
    <xf numFmtId="0" fontId="0" fillId="0" borderId="0" xfId="0" applyFont="1" applyAlignment="1">
      <alignment horizontal="right"/>
    </xf>
    <xf numFmtId="0" fontId="3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right"/>
    </xf>
    <xf numFmtId="0" fontId="3" fillId="0" borderId="0" xfId="0" applyNumberFormat="1" applyFont="1" applyBorder="1" applyAlignment="1"/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8" fillId="0" borderId="0" xfId="0" applyNumberFormat="1" applyFont="1" applyAlignment="1"/>
    <xf numFmtId="0" fontId="9" fillId="0" borderId="0" xfId="0" applyNumberFormat="1" applyFont="1" applyBorder="1" applyAlignment="1">
      <alignment horizontal="centerContinuous" vertical="center"/>
    </xf>
    <xf numFmtId="0" fontId="10" fillId="0" borderId="0" xfId="0" applyNumberFormat="1" applyFont="1" applyAlignment="1">
      <alignment horizontal="centerContinuous" vertical="center"/>
    </xf>
    <xf numFmtId="0" fontId="9" fillId="0" borderId="0" xfId="0" applyNumberFormat="1" applyFont="1" applyAlignment="1">
      <alignment horizontal="centerContinuous" vertical="center"/>
    </xf>
    <xf numFmtId="0" fontId="9" fillId="0" borderId="0" xfId="0" applyNumberFormat="1" applyFont="1" applyAlignment="1" applyProtection="1">
      <alignment horizontal="centerContinuous" vertical="center"/>
      <protection hidden="1"/>
    </xf>
    <xf numFmtId="0" fontId="11" fillId="0" borderId="0" xfId="0" applyNumberFormat="1" applyFont="1" applyAlignment="1">
      <alignment horizontal="center" vertical="center"/>
    </xf>
    <xf numFmtId="0" fontId="12" fillId="0" borderId="0" xfId="0" applyNumberFormat="1" applyFont="1" applyAlignment="1" applyProtection="1">
      <alignment horizontal="center"/>
      <protection locked="0"/>
    </xf>
    <xf numFmtId="0" fontId="12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/>
    </xf>
    <xf numFmtId="0" fontId="14" fillId="0" borderId="0" xfId="0" applyNumberFormat="1" applyFont="1" applyAlignment="1"/>
    <xf numFmtId="0" fontId="15" fillId="0" borderId="0" xfId="0" applyNumberFormat="1" applyFont="1" applyAlignment="1"/>
    <xf numFmtId="0" fontId="9" fillId="0" borderId="0" xfId="0" applyNumberFormat="1" applyFont="1" applyAlignment="1"/>
    <xf numFmtId="0" fontId="9" fillId="0" borderId="0" xfId="0" applyNumberFormat="1" applyFont="1" applyAlignment="1" applyProtection="1">
      <protection hidden="1"/>
    </xf>
    <xf numFmtId="0" fontId="16" fillId="0" borderId="0" xfId="0" applyNumberFormat="1" applyFont="1" applyAlignment="1">
      <alignment horizontal="centerContinuous"/>
    </xf>
    <xf numFmtId="0" fontId="17" fillId="0" borderId="0" xfId="0" applyNumberFormat="1" applyFont="1" applyAlignment="1">
      <alignment horizontal="centerContinuous"/>
    </xf>
    <xf numFmtId="0" fontId="9" fillId="0" borderId="0" xfId="0" applyNumberFormat="1" applyFont="1" applyBorder="1" applyAlignment="1">
      <alignment horizontal="left" vertical="top"/>
    </xf>
    <xf numFmtId="0" fontId="18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right"/>
    </xf>
    <xf numFmtId="165" fontId="21" fillId="0" borderId="0" xfId="0" applyNumberFormat="1" applyFont="1" applyFill="1" applyBorder="1" applyAlignment="1">
      <alignment horizontal="centerContinuous" vertical="center"/>
    </xf>
    <xf numFmtId="0" fontId="20" fillId="0" borderId="0" xfId="0" applyNumberFormat="1" applyFont="1" applyAlignment="1"/>
    <xf numFmtId="0" fontId="17" fillId="0" borderId="0" xfId="0" applyNumberFormat="1" applyFont="1" applyAlignment="1"/>
    <xf numFmtId="0" fontId="3" fillId="0" borderId="0" xfId="0" applyNumberFormat="1" applyFont="1" applyProtection="1">
      <protection locked="0"/>
    </xf>
    <xf numFmtId="0" fontId="20" fillId="0" borderId="0" xfId="0" applyNumberFormat="1" applyFont="1" applyFill="1" applyBorder="1" applyAlignment="1">
      <alignment horizontal="left"/>
    </xf>
    <xf numFmtId="0" fontId="22" fillId="0" borderId="0" xfId="0" applyNumberFormat="1" applyFont="1" applyAlignment="1"/>
    <xf numFmtId="0" fontId="0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 vertical="top"/>
    </xf>
    <xf numFmtId="0" fontId="10" fillId="0" borderId="0" xfId="0" applyNumberFormat="1" applyFont="1" applyAlignment="1">
      <alignment horizontal="left" vertical="top"/>
    </xf>
    <xf numFmtId="0" fontId="0" fillId="0" borderId="0" xfId="0" applyNumberFormat="1" applyFont="1" applyAlignment="1">
      <alignment horizontal="centerContinuous" vertical="center"/>
    </xf>
    <xf numFmtId="0" fontId="20" fillId="0" borderId="0" xfId="0" applyNumberFormat="1" applyFont="1" applyAlignment="1">
      <alignment horizontal="left"/>
    </xf>
    <xf numFmtId="0" fontId="24" fillId="0" borderId="0" xfId="0" applyNumberFormat="1" applyFont="1" applyBorder="1" applyAlignment="1">
      <alignment horizontal="centerContinuous" vertical="center"/>
    </xf>
    <xf numFmtId="0" fontId="9" fillId="0" borderId="1" xfId="0" applyNumberFormat="1" applyFont="1" applyBorder="1" applyAlignment="1">
      <alignment horizontal="centerContinuous" vertical="center"/>
    </xf>
    <xf numFmtId="0" fontId="24" fillId="0" borderId="0" xfId="0" applyNumberFormat="1" applyFont="1" applyAlignment="1">
      <alignment horizontal="centerContinuous" vertical="center"/>
    </xf>
    <xf numFmtId="0" fontId="24" fillId="0" borderId="0" xfId="0" applyNumberFormat="1" applyFont="1" applyAlignment="1">
      <alignment horizontal="left" vertical="center" indent="2"/>
    </xf>
    <xf numFmtId="0" fontId="9" fillId="0" borderId="0" xfId="0" applyNumberFormat="1" applyFont="1" applyAlignment="1">
      <alignment horizontal="left" vertical="center" indent="2"/>
    </xf>
    <xf numFmtId="0" fontId="24" fillId="0" borderId="2" xfId="0" applyNumberFormat="1" applyFont="1" applyBorder="1" applyAlignment="1">
      <alignment horizontal="centerContinuous" vertical="center" wrapText="1"/>
    </xf>
    <xf numFmtId="0" fontId="24" fillId="0" borderId="0" xfId="0" applyFont="1" applyBorder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 wrapText="1"/>
    </xf>
    <xf numFmtId="0" fontId="24" fillId="0" borderId="0" xfId="0" applyNumberFormat="1" applyFont="1" applyAlignment="1"/>
    <xf numFmtId="0" fontId="11" fillId="0" borderId="0" xfId="0" applyNumberFormat="1" applyFont="1" applyAlignment="1"/>
    <xf numFmtId="0" fontId="25" fillId="0" borderId="0" xfId="0" applyNumberFormat="1" applyFont="1" applyAlignment="1"/>
    <xf numFmtId="0" fontId="26" fillId="0" borderId="0" xfId="0" applyNumberFormat="1" applyFont="1" applyAlignment="1"/>
    <xf numFmtId="0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0" fontId="24" fillId="0" borderId="1" xfId="0" applyNumberFormat="1" applyFont="1" applyBorder="1" applyAlignment="1">
      <alignment horizontal="centerContinuous" vertical="center"/>
    </xf>
    <xf numFmtId="167" fontId="11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>
      <alignment horizontal="fill" vertical="center"/>
    </xf>
    <xf numFmtId="0" fontId="9" fillId="0" borderId="0" xfId="0" applyNumberFormat="1" applyFont="1" applyFill="1" applyBorder="1" applyAlignment="1">
      <alignment horizontal="fill" vertical="center"/>
    </xf>
    <xf numFmtId="168" fontId="0" fillId="2" borderId="0" xfId="0" applyNumberFormat="1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right" wrapText="1"/>
    </xf>
    <xf numFmtId="3" fontId="24" fillId="2" borderId="0" xfId="0" applyNumberFormat="1" applyFont="1" applyFill="1" applyBorder="1"/>
    <xf numFmtId="0" fontId="0" fillId="2" borderId="0" xfId="0" applyFont="1" applyFill="1" applyBorder="1"/>
    <xf numFmtId="1" fontId="17" fillId="2" borderId="0" xfId="0" applyNumberFormat="1" applyFont="1" applyFill="1" applyBorder="1" applyAlignment="1">
      <alignment horizontal="center"/>
    </xf>
    <xf numFmtId="4" fontId="17" fillId="2" borderId="0" xfId="0" applyNumberFormat="1" applyFont="1" applyFill="1" applyBorder="1" applyAlignment="1"/>
    <xf numFmtId="9" fontId="17" fillId="2" borderId="0" xfId="0" applyNumberFormat="1" applyFont="1" applyFill="1" applyBorder="1" applyAlignment="1">
      <alignment horizontal="center"/>
    </xf>
    <xf numFmtId="3" fontId="17" fillId="2" borderId="0" xfId="0" applyNumberFormat="1" applyFont="1" applyFill="1" applyBorder="1" applyAlignment="1"/>
    <xf numFmtId="3" fontId="27" fillId="2" borderId="0" xfId="0" applyNumberFormat="1" applyFont="1" applyFill="1" applyBorder="1" applyAlignment="1"/>
    <xf numFmtId="3" fontId="17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/>
    <xf numFmtId="0" fontId="17" fillId="2" borderId="0" xfId="0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/>
    <xf numFmtId="0" fontId="27" fillId="2" borderId="0" xfId="0" applyNumberFormat="1" applyFont="1" applyFill="1" applyBorder="1" applyAlignment="1"/>
    <xf numFmtId="0" fontId="23" fillId="2" borderId="0" xfId="0" applyFont="1" applyFill="1" applyBorder="1" applyAlignment="1">
      <alignment horizontal="center"/>
    </xf>
    <xf numFmtId="0" fontId="0" fillId="0" borderId="0" xfId="0" applyNumberFormat="1" applyFont="1" applyBorder="1" applyAlignment="1"/>
    <xf numFmtId="0" fontId="0" fillId="3" borderId="0" xfId="0" applyFill="1"/>
    <xf numFmtId="0" fontId="17" fillId="3" borderId="0" xfId="0" applyNumberFormat="1" applyFont="1" applyFill="1" applyBorder="1" applyAlignment="1">
      <alignment horizontal="center"/>
    </xf>
    <xf numFmtId="0" fontId="17" fillId="3" borderId="0" xfId="0" applyNumberFormat="1" applyFont="1" applyFill="1" applyBorder="1" applyAlignment="1">
      <alignment horizontal="fill"/>
    </xf>
    <xf numFmtId="0" fontId="24" fillId="3" borderId="0" xfId="0" applyNumberFormat="1" applyFont="1" applyFill="1" applyBorder="1"/>
    <xf numFmtId="0" fontId="0" fillId="3" borderId="0" xfId="0" applyNumberFormat="1" applyFont="1" applyFill="1" applyBorder="1"/>
    <xf numFmtId="0" fontId="23" fillId="3" borderId="0" xfId="0" applyNumberFormat="1" applyFont="1" applyFill="1" applyBorder="1" applyAlignment="1">
      <alignment horizontal="center"/>
    </xf>
    <xf numFmtId="0" fontId="17" fillId="3" borderId="0" xfId="0" applyNumberFormat="1" applyFont="1" applyFill="1" applyBorder="1" applyAlignment="1"/>
    <xf numFmtId="0" fontId="27" fillId="3" borderId="0" xfId="0" applyNumberFormat="1" applyFont="1" applyFill="1" applyBorder="1" applyAlignment="1">
      <alignment horizontal="center"/>
    </xf>
    <xf numFmtId="168" fontId="0" fillId="3" borderId="0" xfId="0" applyNumberFormat="1" applyFont="1" applyFill="1" applyBorder="1" applyAlignment="1">
      <alignment horizontal="center"/>
    </xf>
    <xf numFmtId="3" fontId="17" fillId="3" borderId="0" xfId="0" applyNumberFormat="1" applyFont="1" applyFill="1" applyBorder="1" applyAlignment="1">
      <alignment horizontal="right" wrapText="1"/>
    </xf>
    <xf numFmtId="3" fontId="24" fillId="3" borderId="0" xfId="0" applyNumberFormat="1" applyFont="1" applyFill="1" applyBorder="1"/>
    <xf numFmtId="0" fontId="0" fillId="3" borderId="0" xfId="0" applyFont="1" applyFill="1" applyBorder="1"/>
    <xf numFmtId="1" fontId="17" fillId="3" borderId="0" xfId="0" applyNumberFormat="1" applyFont="1" applyFill="1" applyBorder="1" applyAlignment="1">
      <alignment horizontal="center"/>
    </xf>
    <xf numFmtId="4" fontId="17" fillId="3" borderId="0" xfId="0" applyNumberFormat="1" applyFont="1" applyFill="1" applyBorder="1" applyAlignment="1"/>
    <xf numFmtId="9" fontId="17" fillId="3" borderId="0" xfId="0" applyNumberFormat="1" applyFont="1" applyFill="1" applyBorder="1" applyAlignment="1">
      <alignment horizontal="center"/>
    </xf>
    <xf numFmtId="3" fontId="17" fillId="3" borderId="0" xfId="0" applyNumberFormat="1" applyFont="1" applyFill="1" applyBorder="1" applyAlignment="1"/>
    <xf numFmtId="3" fontId="27" fillId="3" borderId="0" xfId="0" applyNumberFormat="1" applyFont="1" applyFill="1" applyBorder="1" applyAlignment="1"/>
    <xf numFmtId="3" fontId="17" fillId="3" borderId="0" xfId="0" applyNumberFormat="1" applyFont="1" applyFill="1" applyBorder="1" applyAlignment="1">
      <alignment horizontal="center"/>
    </xf>
    <xf numFmtId="0" fontId="0" fillId="2" borderId="0" xfId="0" applyFill="1"/>
    <xf numFmtId="0" fontId="27" fillId="3" borderId="0" xfId="0" applyNumberFormat="1" applyFont="1" applyFill="1" applyBorder="1" applyAlignment="1"/>
    <xf numFmtId="0" fontId="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169" fontId="17" fillId="3" borderId="0" xfId="0" applyNumberFormat="1" applyFont="1" applyFill="1" applyBorder="1" applyAlignment="1" applyProtection="1">
      <alignment horizontal="center" vertical="center"/>
      <protection hidden="1"/>
    </xf>
    <xf numFmtId="0" fontId="17" fillId="3" borderId="0" xfId="0" applyNumberFormat="1" applyFont="1" applyFill="1" applyBorder="1" applyAlignment="1">
      <alignment vertical="center"/>
    </xf>
    <xf numFmtId="164" fontId="17" fillId="3" borderId="0" xfId="0" applyNumberFormat="1" applyFont="1" applyFill="1" applyBorder="1" applyAlignment="1">
      <alignment horizontal="fill" vertical="center"/>
    </xf>
    <xf numFmtId="3" fontId="17" fillId="3" borderId="0" xfId="0" applyNumberFormat="1" applyFont="1" applyFill="1" applyBorder="1" applyAlignment="1">
      <alignment horizontal="fill" vertical="center"/>
    </xf>
    <xf numFmtId="0" fontId="17" fillId="3" borderId="0" xfId="0" applyNumberFormat="1" applyFont="1" applyFill="1" applyBorder="1" applyAlignment="1">
      <alignment horizontal="fill" vertical="center"/>
    </xf>
    <xf numFmtId="0" fontId="17" fillId="3" borderId="0" xfId="0" applyNumberFormat="1" applyFont="1" applyFill="1" applyAlignment="1"/>
    <xf numFmtId="164" fontId="27" fillId="3" borderId="0" xfId="0" applyNumberFormat="1" applyFont="1" applyFill="1" applyAlignment="1"/>
    <xf numFmtId="1" fontId="17" fillId="3" borderId="0" xfId="0" applyNumberFormat="1" applyFont="1" applyFill="1" applyAlignment="1"/>
    <xf numFmtId="3" fontId="17" fillId="3" borderId="0" xfId="0" applyNumberFormat="1" applyFont="1" applyFill="1" applyAlignment="1"/>
    <xf numFmtId="170" fontId="27" fillId="3" borderId="0" xfId="0" applyNumberFormat="1" applyFont="1" applyFill="1" applyAlignment="1"/>
    <xf numFmtId="3" fontId="17" fillId="3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Continuous"/>
    </xf>
    <xf numFmtId="164" fontId="6" fillId="0" borderId="0" xfId="0" applyNumberFormat="1" applyFont="1" applyAlignment="1">
      <alignment horizontal="center"/>
    </xf>
    <xf numFmtId="164" fontId="28" fillId="0" borderId="0" xfId="0" applyNumberFormat="1" applyFont="1" applyAlignment="1">
      <alignment horizontal="centerContinuous"/>
    </xf>
    <xf numFmtId="0" fontId="28" fillId="0" borderId="0" xfId="0" applyNumberFormat="1" applyFont="1" applyAlignment="1">
      <alignment horizontal="centerContinuous"/>
    </xf>
    <xf numFmtId="0" fontId="28" fillId="0" borderId="0" xfId="0" applyNumberFormat="1" applyFont="1" applyAlignment="1"/>
    <xf numFmtId="164" fontId="29" fillId="0" borderId="0" xfId="0" applyNumberFormat="1" applyFont="1" applyAlignment="1">
      <alignment horizontal="left"/>
    </xf>
    <xf numFmtId="164" fontId="9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left" vertical="center"/>
    </xf>
    <xf numFmtId="169" fontId="9" fillId="0" borderId="0" xfId="0" applyNumberFormat="1" applyFont="1" applyAlignment="1" applyProtection="1">
      <protection hidden="1"/>
    </xf>
    <xf numFmtId="3" fontId="11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/>
    <xf numFmtId="0" fontId="30" fillId="0" borderId="0" xfId="0" applyNumberFormat="1" applyFont="1" applyAlignment="1"/>
    <xf numFmtId="164" fontId="31" fillId="0" borderId="0" xfId="0" applyNumberFormat="1" applyFont="1" applyAlignment="1"/>
    <xf numFmtId="3" fontId="24" fillId="0" borderId="0" xfId="0" applyNumberFormat="1" applyFont="1" applyAlignment="1">
      <alignment horizontal="center" vertical="center"/>
    </xf>
    <xf numFmtId="17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64" fontId="9" fillId="0" borderId="3" xfId="0" applyNumberFormat="1" applyFont="1" applyBorder="1" applyAlignment="1"/>
    <xf numFmtId="164" fontId="24" fillId="0" borderId="3" xfId="0" applyNumberFormat="1" applyFont="1" applyBorder="1" applyAlignment="1"/>
    <xf numFmtId="164" fontId="3" fillId="0" borderId="3" xfId="0" applyNumberFormat="1" applyFont="1" applyBorder="1"/>
    <xf numFmtId="1" fontId="9" fillId="0" borderId="3" xfId="0" applyNumberFormat="1" applyFont="1" applyBorder="1" applyAlignment="1"/>
    <xf numFmtId="37" fontId="9" fillId="0" borderId="3" xfId="0" applyNumberFormat="1" applyFont="1" applyBorder="1" applyAlignment="1">
      <alignment horizontal="right"/>
    </xf>
    <xf numFmtId="37" fontId="9" fillId="0" borderId="3" xfId="0" applyNumberFormat="1" applyFont="1" applyBorder="1" applyAlignment="1"/>
    <xf numFmtId="164" fontId="9" fillId="4" borderId="0" xfId="0" applyNumberFormat="1" applyFont="1" applyFill="1" applyAlignment="1">
      <alignment horizontal="center"/>
    </xf>
    <xf numFmtId="164" fontId="17" fillId="5" borderId="1" xfId="0" applyNumberFormat="1" applyFont="1" applyFill="1" applyBorder="1" applyAlignment="1" applyProtection="1">
      <protection locked="0"/>
    </xf>
    <xf numFmtId="164" fontId="27" fillId="5" borderId="1" xfId="0" applyNumberFormat="1" applyFont="1" applyFill="1" applyBorder="1" applyAlignment="1" applyProtection="1">
      <protection locked="0"/>
    </xf>
    <xf numFmtId="37" fontId="17" fillId="5" borderId="1" xfId="0" applyNumberFormat="1" applyFont="1" applyFill="1" applyBorder="1" applyAlignment="1" applyProtection="1">
      <alignment horizontal="right"/>
    </xf>
    <xf numFmtId="37" fontId="17" fillId="5" borderId="1" xfId="0" applyNumberFormat="1" applyFont="1" applyFill="1" applyBorder="1" applyAlignment="1" applyProtection="1"/>
    <xf numFmtId="164" fontId="17" fillId="5" borderId="4" xfId="0" applyNumberFormat="1" applyFont="1" applyFill="1" applyBorder="1" applyAlignment="1" applyProtection="1">
      <alignment horizontal="left" indent="4"/>
      <protection locked="0"/>
    </xf>
    <xf numFmtId="164" fontId="27" fillId="5" borderId="0" xfId="0" applyNumberFormat="1" applyFont="1" applyFill="1" applyAlignment="1" applyProtection="1">
      <protection locked="0"/>
    </xf>
    <xf numFmtId="37" fontId="17" fillId="5" borderId="0" xfId="0" applyNumberFormat="1" applyFont="1" applyFill="1" applyAlignment="1" applyProtection="1">
      <alignment horizontal="right"/>
    </xf>
    <xf numFmtId="164" fontId="24" fillId="4" borderId="0" xfId="0" applyNumberFormat="1" applyFont="1" applyFill="1" applyAlignment="1">
      <alignment horizontal="center"/>
    </xf>
    <xf numFmtId="164" fontId="27" fillId="6" borderId="1" xfId="0" applyNumberFormat="1" applyFont="1" applyFill="1" applyBorder="1" applyAlignment="1" applyProtection="1">
      <protection locked="0"/>
    </xf>
    <xf numFmtId="37" fontId="27" fillId="5" borderId="1" xfId="0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center"/>
    </xf>
    <xf numFmtId="164" fontId="24" fillId="0" borderId="1" xfId="0" applyNumberFormat="1" applyFont="1" applyBorder="1" applyAlignment="1"/>
    <xf numFmtId="164" fontId="3" fillId="0" borderId="1" xfId="0" applyNumberFormat="1" applyFont="1" applyBorder="1"/>
    <xf numFmtId="1" fontId="9" fillId="0" borderId="1" xfId="0" applyNumberFormat="1" applyFont="1" applyBorder="1" applyAlignment="1"/>
    <xf numFmtId="10" fontId="9" fillId="0" borderId="1" xfId="0" applyNumberFormat="1" applyFont="1" applyBorder="1" applyAlignment="1">
      <alignment horizontal="right"/>
    </xf>
    <xf numFmtId="37" fontId="9" fillId="0" borderId="5" xfId="0" applyNumberFormat="1" applyFont="1" applyBorder="1" applyAlignment="1">
      <alignment horizontal="right"/>
    </xf>
    <xf numFmtId="37" fontId="9" fillId="0" borderId="1" xfId="0" applyNumberFormat="1" applyFont="1" applyBorder="1" applyAlignment="1"/>
    <xf numFmtId="164" fontId="3" fillId="0" borderId="0" xfId="0" applyNumberFormat="1" applyFont="1" applyAlignment="1"/>
    <xf numFmtId="1" fontId="24" fillId="0" borderId="0" xfId="0" applyNumberFormat="1" applyFont="1" applyAlignment="1"/>
    <xf numFmtId="37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fill" vertical="center"/>
    </xf>
    <xf numFmtId="1" fontId="9" fillId="0" borderId="0" xfId="0" applyNumberFormat="1" applyFont="1" applyAlignment="1"/>
    <xf numFmtId="164" fontId="32" fillId="0" borderId="0" xfId="0" applyNumberFormat="1" applyFont="1" applyAlignment="1">
      <alignment horizontal="right"/>
    </xf>
    <xf numFmtId="1" fontId="33" fillId="0" borderId="0" xfId="0" applyNumberFormat="1" applyFont="1" applyAlignment="1" applyProtection="1">
      <alignment horizontal="right"/>
    </xf>
    <xf numFmtId="3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right"/>
    </xf>
    <xf numFmtId="6" fontId="9" fillId="0" borderId="0" xfId="0" applyNumberFormat="1" applyFont="1" applyAlignment="1"/>
    <xf numFmtId="38" fontId="17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70" fontId="3" fillId="0" borderId="0" xfId="0" applyNumberFormat="1" applyFont="1" applyAlignment="1"/>
    <xf numFmtId="164" fontId="34" fillId="0" borderId="0" xfId="0" applyNumberFormat="1" applyFont="1" applyAlignment="1">
      <alignment horizontal="right"/>
    </xf>
    <xf numFmtId="164" fontId="34" fillId="0" borderId="0" xfId="0" applyNumberFormat="1" applyFont="1" applyAlignment="1"/>
    <xf numFmtId="0" fontId="34" fillId="0" borderId="0" xfId="0" applyFont="1" applyAlignment="1"/>
    <xf numFmtId="0" fontId="35" fillId="0" borderId="0" xfId="0" applyNumberFormat="1" applyFont="1" applyAlignment="1"/>
    <xf numFmtId="1" fontId="9" fillId="0" borderId="0" xfId="0" applyNumberFormat="1" applyFont="1" applyAlignment="1">
      <alignment horizontal="centerContinuous" vertical="center"/>
    </xf>
    <xf numFmtId="6" fontId="34" fillId="0" borderId="0" xfId="0" applyNumberFormat="1" applyFont="1" applyAlignment="1"/>
    <xf numFmtId="8" fontId="34" fillId="0" borderId="0" xfId="0" applyNumberFormat="1" applyFont="1" applyAlignment="1"/>
    <xf numFmtId="1" fontId="9" fillId="0" borderId="0" xfId="0" applyNumberFormat="1" applyFont="1" applyAlignment="1">
      <alignment horizontal="centerContinuous" vertical="top"/>
    </xf>
    <xf numFmtId="2" fontId="9" fillId="0" borderId="0" xfId="0" applyNumberFormat="1" applyFont="1" applyAlignment="1"/>
    <xf numFmtId="10" fontId="34" fillId="0" borderId="0" xfId="0" applyNumberFormat="1" applyFont="1" applyAlignment="1"/>
    <xf numFmtId="164" fontId="24" fillId="0" borderId="0" xfId="0" applyNumberFormat="1" applyFont="1" applyAlignment="1">
      <alignment horizontal="center"/>
    </xf>
    <xf numFmtId="3" fontId="31" fillId="0" borderId="0" xfId="0" applyNumberFormat="1" applyFont="1" applyAlignment="1"/>
    <xf numFmtId="3" fontId="9" fillId="0" borderId="0" xfId="0" applyNumberFormat="1" applyFont="1" applyAlignment="1"/>
    <xf numFmtId="164" fontId="24" fillId="0" borderId="0" xfId="0" applyNumberFormat="1" applyFont="1" applyAlignment="1" applyProtection="1">
      <alignment horizontal="center"/>
      <protection locked="0"/>
    </xf>
    <xf numFmtId="164" fontId="11" fillId="0" borderId="0" xfId="0" applyNumberFormat="1" applyFont="1" applyAlignment="1"/>
    <xf numFmtId="1" fontId="11" fillId="0" borderId="0" xfId="0" applyNumberFormat="1" applyFont="1" applyAlignment="1"/>
    <xf numFmtId="164" fontId="9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 applyProtection="1">
      <protection locked="0"/>
    </xf>
    <xf numFmtId="3" fontId="27" fillId="5" borderId="1" xfId="0" applyNumberFormat="1" applyFont="1" applyFill="1" applyBorder="1" applyAlignment="1" applyProtection="1">
      <protection locked="0"/>
    </xf>
    <xf numFmtId="164" fontId="17" fillId="5" borderId="0" xfId="0" applyNumberFormat="1" applyFont="1" applyFill="1" applyAlignment="1" applyProtection="1">
      <protection locked="0"/>
    </xf>
    <xf numFmtId="3" fontId="27" fillId="5" borderId="0" xfId="0" applyNumberFormat="1" applyFont="1" applyFill="1" applyAlignment="1" applyProtection="1">
      <protection locked="0"/>
    </xf>
    <xf numFmtId="37" fontId="17" fillId="5" borderId="0" xfId="0" applyNumberFormat="1" applyFont="1" applyFill="1" applyAlignment="1" applyProtection="1"/>
    <xf numFmtId="37" fontId="27" fillId="5" borderId="1" xfId="0" applyNumberFormat="1" applyFont="1" applyFill="1" applyBorder="1" applyAlignment="1" applyProtection="1">
      <alignment horizontal="right"/>
    </xf>
    <xf numFmtId="164" fontId="9" fillId="0" borderId="1" xfId="0" applyNumberFormat="1" applyFont="1" applyBorder="1" applyAlignment="1"/>
    <xf numFmtId="10" fontId="9" fillId="0" borderId="1" xfId="0" applyNumberFormat="1" applyFont="1" applyBorder="1" applyAlignment="1"/>
    <xf numFmtId="172" fontId="9" fillId="0" borderId="0" xfId="0" applyNumberFormat="1" applyFont="1" applyAlignment="1"/>
    <xf numFmtId="164" fontId="32" fillId="0" borderId="0" xfId="0" applyNumberFormat="1" applyFont="1" applyAlignment="1"/>
    <xf numFmtId="3" fontId="33" fillId="0" borderId="0" xfId="0" applyNumberFormat="1" applyFont="1" applyAlignment="1" applyProtection="1">
      <alignment horizontal="right"/>
    </xf>
    <xf numFmtId="164" fontId="9" fillId="0" borderId="0" xfId="0" applyNumberFormat="1" applyFont="1" applyAlignment="1">
      <alignment horizontal="centerContinuous"/>
    </xf>
    <xf numFmtId="164" fontId="9" fillId="0" borderId="0" xfId="0" applyNumberFormat="1" applyFont="1" applyAlignment="1">
      <alignment horizontal="right"/>
    </xf>
    <xf numFmtId="173" fontId="17" fillId="0" borderId="0" xfId="0" applyNumberFormat="1" applyFont="1" applyAlignment="1"/>
    <xf numFmtId="164" fontId="3" fillId="0" borderId="0" xfId="0" applyNumberFormat="1" applyFont="1" applyAlignment="1">
      <alignment horizontal="centerContinuous"/>
    </xf>
    <xf numFmtId="174" fontId="17" fillId="0" borderId="0" xfId="0" applyNumberFormat="1" applyFont="1" applyAlignment="1"/>
    <xf numFmtId="3" fontId="24" fillId="0" borderId="0" xfId="0" applyNumberFormat="1" applyFont="1" applyAlignment="1" applyProtection="1">
      <alignment horizontal="right"/>
    </xf>
    <xf numFmtId="174" fontId="27" fillId="0" borderId="0" xfId="0" applyNumberFormat="1" applyFont="1" applyAlignment="1">
      <alignment horizontal="right"/>
    </xf>
    <xf numFmtId="164" fontId="23" fillId="0" borderId="0" xfId="0" applyNumberFormat="1" applyFont="1" applyAlignment="1"/>
    <xf numFmtId="1" fontId="9" fillId="0" borderId="0" xfId="0" applyNumberFormat="1" applyFont="1" applyAlignment="1" applyProtection="1">
      <protection locked="0"/>
    </xf>
    <xf numFmtId="165" fontId="35" fillId="0" borderId="0" xfId="0" applyNumberFormat="1" applyFont="1" applyAlignment="1">
      <alignment horizontal="centerContinuous" vertical="center"/>
    </xf>
    <xf numFmtId="164" fontId="9" fillId="0" borderId="0" xfId="0" applyNumberFormat="1" applyFont="1" applyAlignment="1">
      <alignment horizontal="centerContinuous" vertical="center"/>
    </xf>
    <xf numFmtId="3" fontId="0" fillId="0" borderId="0" xfId="0" applyNumberFormat="1" applyFont="1" applyAlignment="1"/>
  </cellXfs>
  <cellStyles count="1">
    <cellStyle name="Normal" xfId="0" builtinId="0" customBuiltin="1"/>
  </cellStyles>
  <dxfs count="6"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/>
  </sheetViews>
  <sheetFormatPr defaultRowHeight="18" x14ac:dyDescent="0.25"/>
  <cols>
    <col min="1" max="1" width="28.44140625" customWidth="1"/>
    <col min="2" max="2" width="48.8867187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s="1" t="s">
        <v>9</v>
      </c>
    </row>
    <row r="6" spans="1:2" x14ac:dyDescent="0.25">
      <c r="A6" t="s">
        <v>10</v>
      </c>
      <c r="B6">
        <v>30</v>
      </c>
    </row>
    <row r="7" spans="1:2" x14ac:dyDescent="0.25">
      <c r="A7" t="s">
        <v>11</v>
      </c>
      <c r="B7">
        <v>63</v>
      </c>
    </row>
    <row r="8" spans="1:2" x14ac:dyDescent="0.25">
      <c r="A8" t="s">
        <v>12</v>
      </c>
      <c r="B8">
        <v>15</v>
      </c>
    </row>
    <row r="9" spans="1:2" x14ac:dyDescent="0.25">
      <c r="A9" t="s">
        <v>13</v>
      </c>
      <c r="B9" s="2">
        <v>43805</v>
      </c>
    </row>
    <row r="10" spans="1:2" x14ac:dyDescent="0.25">
      <c r="A10" t="s">
        <v>14</v>
      </c>
      <c r="B10">
        <v>2019</v>
      </c>
    </row>
    <row r="11" spans="1:2" x14ac:dyDescent="0.25">
      <c r="A11" t="s">
        <v>15</v>
      </c>
      <c r="B11" s="2">
        <v>43466</v>
      </c>
    </row>
    <row r="12" spans="1:2" x14ac:dyDescent="0.25">
      <c r="A12" t="s">
        <v>16</v>
      </c>
      <c r="B12">
        <v>2021</v>
      </c>
    </row>
    <row r="13" spans="1:2" x14ac:dyDescent="0.25">
      <c r="A13" t="s">
        <v>17</v>
      </c>
      <c r="B13">
        <v>10</v>
      </c>
    </row>
    <row r="14" spans="1:2" x14ac:dyDescent="0.25">
      <c r="A14" t="s">
        <v>18</v>
      </c>
      <c r="B14" s="3">
        <v>36216.46</v>
      </c>
    </row>
    <row r="15" spans="1:2" x14ac:dyDescent="0.25">
      <c r="A15" t="s">
        <v>19</v>
      </c>
      <c r="B15" s="3">
        <v>7500</v>
      </c>
    </row>
    <row r="16" spans="1:2" x14ac:dyDescent="0.25">
      <c r="A16" t="s">
        <v>20</v>
      </c>
      <c r="B16">
        <v>0.02</v>
      </c>
    </row>
    <row r="17" spans="1:2" x14ac:dyDescent="0.25">
      <c r="A17" t="s">
        <v>21</v>
      </c>
      <c r="B17">
        <v>0.02</v>
      </c>
    </row>
    <row r="18" spans="1:2" x14ac:dyDescent="0.25">
      <c r="A18" t="s">
        <v>22</v>
      </c>
      <c r="B18">
        <v>12</v>
      </c>
    </row>
    <row r="21" spans="1:2" x14ac:dyDescent="0.25">
      <c r="A21" s="4" t="s">
        <v>23</v>
      </c>
    </row>
    <row r="22" spans="1:2" x14ac:dyDescent="0.25">
      <c r="A22" t="s">
        <v>24</v>
      </c>
    </row>
    <row r="24" spans="1:2" x14ac:dyDescent="0.25">
      <c r="A24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3"/>
  <sheetViews>
    <sheetView topLeftCell="E1" workbookViewId="0">
      <selection activeCell="F11" sqref="F11:F52"/>
    </sheetView>
  </sheetViews>
  <sheetFormatPr defaultRowHeight="18" x14ac:dyDescent="0.25"/>
  <cols>
    <col min="1" max="4" width="0" hidden="1" customWidth="1"/>
    <col min="5" max="5" width="9.44140625" customWidth="1"/>
    <col min="6" max="6" width="13.33203125" customWidth="1"/>
    <col min="7" max="7" width="11.33203125" customWidth="1"/>
    <col min="8" max="8" width="15.77734375" customWidth="1"/>
    <col min="9" max="9" width="89.21875" customWidth="1"/>
    <col min="10" max="10" width="13.109375" customWidth="1"/>
    <col min="11" max="11" width="10.109375" customWidth="1"/>
    <col min="12" max="12" width="13.77734375" customWidth="1"/>
    <col min="13" max="13" width="15.6640625" customWidth="1"/>
    <col min="14" max="14" width="8.88671875" hidden="1" customWidth="1"/>
    <col min="15" max="15" width="15.6640625" customWidth="1"/>
    <col min="16" max="17" width="16.44140625" customWidth="1"/>
    <col min="18" max="18" width="13.88671875" customWidth="1"/>
    <col min="19" max="48" width="11.44140625" customWidth="1"/>
  </cols>
  <sheetData>
    <row r="1" spans="1:48" ht="30" customHeight="1" x14ac:dyDescent="0.35">
      <c r="F1" s="5"/>
      <c r="G1" s="5"/>
      <c r="H1" s="5"/>
      <c r="I1" s="6" t="s">
        <v>26</v>
      </c>
      <c r="J1" s="5"/>
      <c r="K1" s="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8" t="s">
        <v>27</v>
      </c>
      <c r="AH1" s="7"/>
      <c r="AI1" s="7"/>
      <c r="AJ1" s="9"/>
      <c r="AK1" s="9"/>
      <c r="AL1" s="9"/>
      <c r="AM1" s="5"/>
      <c r="AN1" s="9"/>
      <c r="AO1" s="9"/>
      <c r="AP1" s="9"/>
      <c r="AQ1" s="9"/>
      <c r="AR1" s="9"/>
      <c r="AS1" s="9"/>
      <c r="AT1" s="9"/>
      <c r="AU1" s="9"/>
      <c r="AV1" s="10" t="s">
        <v>28</v>
      </c>
    </row>
    <row r="2" spans="1:48" ht="26.1" customHeight="1" x14ac:dyDescent="0.4">
      <c r="E2" s="11"/>
      <c r="F2" s="5"/>
      <c r="G2" s="5"/>
      <c r="H2" s="5"/>
      <c r="I2" s="12" t="s">
        <v>29</v>
      </c>
      <c r="J2" s="13"/>
      <c r="K2" s="14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5"/>
      <c r="AK2" s="5"/>
      <c r="AL2" s="5"/>
      <c r="AM2" s="5"/>
      <c r="AN2" s="5"/>
      <c r="AO2" s="5"/>
      <c r="AP2" s="5"/>
      <c r="AQ2" s="15"/>
      <c r="AR2" s="5"/>
      <c r="AS2" s="5"/>
      <c r="AT2" s="5"/>
      <c r="AU2" s="5"/>
      <c r="AV2" s="5"/>
    </row>
    <row r="3" spans="1:48" ht="18.95" customHeight="1" x14ac:dyDescent="0.3">
      <c r="E3" s="16"/>
      <c r="F3" s="17"/>
      <c r="G3" s="18"/>
      <c r="H3" s="19"/>
      <c r="I3" s="20"/>
      <c r="J3" s="21"/>
      <c r="K3" s="22"/>
      <c r="L3" s="23"/>
      <c r="M3" s="24"/>
      <c r="N3" s="24"/>
      <c r="O3" s="24"/>
      <c r="P3" s="24"/>
      <c r="Q3" s="5"/>
      <c r="R3" s="25"/>
      <c r="S3" s="26" t="s">
        <v>23</v>
      </c>
      <c r="T3" s="25"/>
      <c r="U3" s="25"/>
      <c r="V3" s="27"/>
      <c r="W3" s="28"/>
      <c r="X3" s="28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9"/>
      <c r="AN3" s="30"/>
      <c r="AO3" s="30"/>
      <c r="AP3" s="30"/>
      <c r="AQ3" s="30"/>
      <c r="AR3" s="30"/>
      <c r="AS3" s="30"/>
      <c r="AT3" s="30"/>
      <c r="AU3" s="30"/>
      <c r="AV3" s="30"/>
    </row>
    <row r="4" spans="1:48" ht="21.95" customHeight="1" x14ac:dyDescent="0.25">
      <c r="E4" s="31"/>
      <c r="F4" s="17"/>
      <c r="G4" s="18"/>
      <c r="H4" s="18"/>
      <c r="I4" s="32" t="s">
        <v>30</v>
      </c>
      <c r="J4" s="33"/>
      <c r="K4" s="33"/>
      <c r="L4" s="34"/>
      <c r="M4" s="35"/>
      <c r="N4" s="35"/>
      <c r="O4" s="35"/>
      <c r="P4" s="35"/>
      <c r="Q4" s="5"/>
      <c r="R4" s="36" t="s">
        <v>31</v>
      </c>
      <c r="S4" s="37">
        <v>0.02</v>
      </c>
      <c r="T4" s="38" t="s">
        <v>32</v>
      </c>
      <c r="U4" s="25"/>
      <c r="V4" s="27"/>
      <c r="W4" s="27"/>
      <c r="X4" s="27"/>
      <c r="Y4" s="27"/>
      <c r="Z4" s="27"/>
      <c r="AA4" s="5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39"/>
      <c r="AN4" s="39"/>
      <c r="AO4" s="39"/>
      <c r="AP4" s="39"/>
      <c r="AQ4" s="39"/>
      <c r="AR4" s="39"/>
      <c r="AS4" s="39"/>
      <c r="AT4" s="39"/>
      <c r="AU4" s="39"/>
      <c r="AV4" s="39"/>
    </row>
    <row r="5" spans="1:48" ht="21.95" customHeight="1" x14ac:dyDescent="0.25">
      <c r="E5" s="16"/>
      <c r="F5" s="17"/>
      <c r="G5" s="18"/>
      <c r="H5" s="19"/>
      <c r="I5" s="32" t="s">
        <v>33</v>
      </c>
      <c r="J5" s="40"/>
      <c r="K5" s="17"/>
      <c r="L5" s="18"/>
      <c r="M5" s="27"/>
      <c r="N5" s="27"/>
      <c r="O5" s="27"/>
      <c r="P5" s="27"/>
      <c r="Q5" s="5"/>
      <c r="R5" s="36" t="s">
        <v>34</v>
      </c>
      <c r="S5" s="41" t="s">
        <v>35</v>
      </c>
      <c r="T5" s="25"/>
      <c r="U5" s="25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42"/>
      <c r="AN5" s="39"/>
      <c r="AO5" s="39"/>
      <c r="AP5" s="39"/>
      <c r="AQ5" s="39"/>
      <c r="AR5" s="39"/>
      <c r="AS5" s="39"/>
      <c r="AT5" s="39"/>
      <c r="AU5" s="39"/>
      <c r="AV5" s="39"/>
    </row>
    <row r="6" spans="1:48" ht="18.95" customHeight="1" x14ac:dyDescent="0.25">
      <c r="E6" s="16"/>
      <c r="F6" s="17"/>
      <c r="G6" s="18"/>
      <c r="H6" s="19"/>
      <c r="I6" s="43" t="s">
        <v>36</v>
      </c>
      <c r="J6" s="45"/>
      <c r="K6" s="46"/>
      <c r="L6" s="18"/>
      <c r="M6" s="18"/>
      <c r="N6" s="47"/>
      <c r="O6" s="5"/>
      <c r="P6" s="5"/>
      <c r="Q6" s="18"/>
      <c r="R6" s="36" t="s">
        <v>26</v>
      </c>
      <c r="S6" s="48" t="s">
        <v>26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ht="18.95" customHeight="1" x14ac:dyDescent="0.3">
      <c r="E7" s="16"/>
      <c r="F7" s="49"/>
      <c r="G7" s="16"/>
      <c r="H7" s="19" t="s">
        <v>37</v>
      </c>
      <c r="I7" s="50"/>
      <c r="J7" s="51" t="s">
        <v>38</v>
      </c>
      <c r="K7" s="52" t="s">
        <v>39</v>
      </c>
      <c r="L7" s="53"/>
      <c r="M7" s="54" t="s">
        <v>40</v>
      </c>
      <c r="N7" s="55" t="s">
        <v>26</v>
      </c>
      <c r="O7" s="54"/>
      <c r="P7" s="56"/>
      <c r="Q7" s="56"/>
      <c r="R7" s="57"/>
      <c r="S7" s="48" t="s">
        <v>26</v>
      </c>
      <c r="T7" s="58"/>
      <c r="U7" s="58"/>
      <c r="V7" s="58"/>
      <c r="W7" s="58"/>
      <c r="X7" s="58"/>
      <c r="Y7" s="59"/>
      <c r="Z7" s="58"/>
      <c r="AA7" s="58"/>
      <c r="AB7" s="5"/>
      <c r="AC7" s="27"/>
      <c r="AD7" s="58"/>
      <c r="AE7" s="58"/>
      <c r="AF7" s="58"/>
      <c r="AG7" s="58"/>
      <c r="AH7" s="58"/>
      <c r="AI7" s="58"/>
      <c r="AJ7" s="58"/>
      <c r="AK7" s="58"/>
      <c r="AL7" s="58"/>
      <c r="AM7" s="60"/>
      <c r="AN7" s="60"/>
      <c r="AO7" s="60"/>
      <c r="AP7" s="60"/>
      <c r="AQ7" s="60"/>
      <c r="AR7" s="60"/>
      <c r="AS7" s="60"/>
      <c r="AT7" s="60"/>
      <c r="AU7" s="60"/>
      <c r="AV7" s="60"/>
    </row>
    <row r="8" spans="1:48" ht="18.95" customHeight="1" x14ac:dyDescent="0.3">
      <c r="B8" t="s">
        <v>121</v>
      </c>
      <c r="C8" t="s">
        <v>122</v>
      </c>
      <c r="E8" s="61" t="s">
        <v>41</v>
      </c>
      <c r="F8" s="62" t="s">
        <v>42</v>
      </c>
      <c r="G8" s="63" t="s">
        <v>43</v>
      </c>
      <c r="H8" s="44"/>
      <c r="I8" s="51"/>
      <c r="J8" s="63" t="s">
        <v>44</v>
      </c>
      <c r="K8" s="51" t="s">
        <v>45</v>
      </c>
      <c r="L8" s="51"/>
      <c r="M8" s="51" t="s">
        <v>46</v>
      </c>
      <c r="N8" s="51" t="s">
        <v>47</v>
      </c>
      <c r="O8" s="51" t="s">
        <v>43</v>
      </c>
      <c r="P8" s="51" t="s">
        <v>42</v>
      </c>
      <c r="Q8" s="51" t="s">
        <v>48</v>
      </c>
      <c r="R8" s="64">
        <v>0</v>
      </c>
      <c r="S8" s="65">
        <v>1</v>
      </c>
      <c r="T8" s="65">
        <v>2</v>
      </c>
      <c r="U8" s="65">
        <v>3</v>
      </c>
      <c r="V8" s="65">
        <v>4</v>
      </c>
      <c r="W8" s="65">
        <v>5</v>
      </c>
      <c r="X8" s="65">
        <v>6</v>
      </c>
      <c r="Y8" s="65">
        <v>7</v>
      </c>
      <c r="Z8" s="65">
        <v>8</v>
      </c>
      <c r="AA8" s="65">
        <v>9</v>
      </c>
      <c r="AB8" s="65">
        <v>10</v>
      </c>
      <c r="AC8" s="65">
        <v>11</v>
      </c>
      <c r="AD8" s="65">
        <v>12</v>
      </c>
      <c r="AE8" s="65">
        <v>13</v>
      </c>
      <c r="AF8" s="65">
        <v>14</v>
      </c>
      <c r="AG8" s="65">
        <v>15</v>
      </c>
      <c r="AH8" s="65">
        <v>16</v>
      </c>
      <c r="AI8" s="65">
        <v>17</v>
      </c>
      <c r="AJ8" s="65">
        <v>18</v>
      </c>
      <c r="AK8" s="65">
        <v>19</v>
      </c>
      <c r="AL8" s="65">
        <v>20</v>
      </c>
      <c r="AM8" s="66">
        <v>21</v>
      </c>
      <c r="AN8" s="66">
        <v>22</v>
      </c>
      <c r="AO8" s="66">
        <v>23</v>
      </c>
      <c r="AP8" s="66">
        <v>24</v>
      </c>
      <c r="AQ8" s="66">
        <v>25</v>
      </c>
      <c r="AR8" s="66">
        <v>26</v>
      </c>
      <c r="AS8" s="66">
        <v>27</v>
      </c>
      <c r="AT8" s="66">
        <v>28</v>
      </c>
      <c r="AU8" s="66">
        <v>29</v>
      </c>
      <c r="AV8" s="66">
        <v>30</v>
      </c>
    </row>
    <row r="9" spans="1:48" ht="18.95" customHeight="1" x14ac:dyDescent="0.3">
      <c r="A9" t="s">
        <v>123</v>
      </c>
      <c r="B9" t="s">
        <v>124</v>
      </c>
      <c r="C9" t="s">
        <v>43</v>
      </c>
      <c r="D9" t="s">
        <v>125</v>
      </c>
      <c r="E9" s="61" t="s">
        <v>49</v>
      </c>
      <c r="F9" s="63" t="s">
        <v>50</v>
      </c>
      <c r="G9" s="63" t="s">
        <v>50</v>
      </c>
      <c r="H9" s="63" t="s">
        <v>51</v>
      </c>
      <c r="I9" s="20" t="s">
        <v>52</v>
      </c>
      <c r="J9" s="51" t="s">
        <v>53</v>
      </c>
      <c r="K9" s="67" t="s">
        <v>54</v>
      </c>
      <c r="L9" s="67" t="s">
        <v>55</v>
      </c>
      <c r="M9" s="49" t="s">
        <v>56</v>
      </c>
      <c r="N9" s="51" t="s">
        <v>57</v>
      </c>
      <c r="O9" s="51" t="s">
        <v>56</v>
      </c>
      <c r="P9" s="51" t="s">
        <v>56</v>
      </c>
      <c r="Q9" s="51" t="s">
        <v>58</v>
      </c>
      <c r="R9" s="68">
        <v>2019</v>
      </c>
      <c r="S9" s="65">
        <v>2020</v>
      </c>
      <c r="T9" s="65">
        <v>2021</v>
      </c>
      <c r="U9" s="65">
        <v>2022</v>
      </c>
      <c r="V9" s="65">
        <v>2023</v>
      </c>
      <c r="W9" s="65">
        <v>2024</v>
      </c>
      <c r="X9" s="65">
        <v>2025</v>
      </c>
      <c r="Y9" s="65">
        <v>2026</v>
      </c>
      <c r="Z9" s="65">
        <v>2027</v>
      </c>
      <c r="AA9" s="65">
        <v>2028</v>
      </c>
      <c r="AB9" s="65">
        <v>2029</v>
      </c>
      <c r="AC9" s="65">
        <v>2030</v>
      </c>
      <c r="AD9" s="65">
        <v>2031</v>
      </c>
      <c r="AE9" s="65">
        <v>2032</v>
      </c>
      <c r="AF9" s="65">
        <v>2033</v>
      </c>
      <c r="AG9" s="65">
        <v>2034</v>
      </c>
      <c r="AH9" s="65">
        <v>2035</v>
      </c>
      <c r="AI9" s="65">
        <v>2036</v>
      </c>
      <c r="AJ9" s="65">
        <v>2037</v>
      </c>
      <c r="AK9" s="65">
        <v>2038</v>
      </c>
      <c r="AL9" s="65">
        <v>2039</v>
      </c>
      <c r="AM9" s="65">
        <v>2040</v>
      </c>
      <c r="AN9" s="65">
        <v>2041</v>
      </c>
      <c r="AO9" s="65">
        <v>2042</v>
      </c>
      <c r="AP9" s="65">
        <v>2043</v>
      </c>
      <c r="AQ9" s="65">
        <v>2044</v>
      </c>
      <c r="AR9" s="65">
        <v>2045</v>
      </c>
      <c r="AS9" s="65">
        <v>2046</v>
      </c>
      <c r="AT9" s="65">
        <v>2047</v>
      </c>
      <c r="AU9" s="65">
        <v>2048</v>
      </c>
      <c r="AV9" s="65">
        <v>2049</v>
      </c>
    </row>
    <row r="10" spans="1:48" ht="8.1" customHeight="1" x14ac:dyDescent="0.25">
      <c r="B10" t="s">
        <v>59</v>
      </c>
      <c r="C10" t="s">
        <v>59</v>
      </c>
      <c r="D10" t="s">
        <v>59</v>
      </c>
      <c r="E10" s="69" t="s">
        <v>59</v>
      </c>
      <c r="F10" s="69"/>
      <c r="G10" s="69" t="s">
        <v>59</v>
      </c>
      <c r="H10" s="69" t="s">
        <v>59</v>
      </c>
      <c r="I10" s="69" t="s">
        <v>59</v>
      </c>
      <c r="J10" s="70" t="s">
        <v>59</v>
      </c>
      <c r="K10" s="69" t="s">
        <v>59</v>
      </c>
      <c r="L10" s="70" t="s">
        <v>59</v>
      </c>
      <c r="M10" s="70" t="s">
        <v>59</v>
      </c>
      <c r="N10" s="70" t="s">
        <v>59</v>
      </c>
      <c r="O10" s="70" t="s">
        <v>59</v>
      </c>
      <c r="P10" s="69" t="s">
        <v>59</v>
      </c>
      <c r="Q10" s="70" t="s">
        <v>59</v>
      </c>
      <c r="R10" s="70" t="s">
        <v>59</v>
      </c>
      <c r="S10" s="70" t="s">
        <v>59</v>
      </c>
      <c r="T10" s="70" t="s">
        <v>59</v>
      </c>
      <c r="U10" s="70" t="s">
        <v>59</v>
      </c>
      <c r="V10" s="70" t="s">
        <v>59</v>
      </c>
      <c r="W10" s="70" t="s">
        <v>59</v>
      </c>
      <c r="X10" s="70" t="s">
        <v>59</v>
      </c>
      <c r="Y10" s="70" t="s">
        <v>59</v>
      </c>
      <c r="Z10" s="70" t="s">
        <v>59</v>
      </c>
      <c r="AA10" s="70" t="s">
        <v>59</v>
      </c>
      <c r="AB10" s="70" t="s">
        <v>59</v>
      </c>
      <c r="AC10" s="70" t="s">
        <v>59</v>
      </c>
      <c r="AD10" s="70" t="s">
        <v>59</v>
      </c>
      <c r="AE10" s="70" t="s">
        <v>59</v>
      </c>
      <c r="AF10" s="70" t="s">
        <v>59</v>
      </c>
      <c r="AG10" s="70" t="s">
        <v>59</v>
      </c>
      <c r="AH10" s="70" t="s">
        <v>59</v>
      </c>
      <c r="AI10" s="70" t="s">
        <v>59</v>
      </c>
      <c r="AJ10" s="70" t="s">
        <v>59</v>
      </c>
      <c r="AK10" s="70" t="s">
        <v>59</v>
      </c>
      <c r="AL10" s="70" t="s">
        <v>59</v>
      </c>
      <c r="AM10" s="70" t="s">
        <v>59</v>
      </c>
      <c r="AN10" s="70" t="s">
        <v>59</v>
      </c>
      <c r="AO10" s="70" t="s">
        <v>59</v>
      </c>
      <c r="AP10" s="70" t="s">
        <v>59</v>
      </c>
      <c r="AQ10" s="70" t="s">
        <v>59</v>
      </c>
      <c r="AR10" s="70" t="s">
        <v>59</v>
      </c>
      <c r="AS10" s="70" t="s">
        <v>59</v>
      </c>
      <c r="AT10" s="70" t="s">
        <v>59</v>
      </c>
      <c r="AU10" s="70" t="s">
        <v>59</v>
      </c>
      <c r="AV10" s="70" t="s">
        <v>59</v>
      </c>
    </row>
    <row r="11" spans="1:48" s="88" customFormat="1" ht="30" customHeight="1" x14ac:dyDescent="0.25">
      <c r="E11" s="89"/>
      <c r="F11" s="90"/>
      <c r="G11" s="91"/>
      <c r="H11" s="92"/>
      <c r="I11" s="93" t="s">
        <v>60</v>
      </c>
      <c r="J11" s="89"/>
      <c r="K11" s="89"/>
      <c r="L11" s="89"/>
      <c r="M11" s="94"/>
      <c r="N11" s="94"/>
      <c r="O11" s="95"/>
      <c r="P11" s="95"/>
      <c r="Q11" s="95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</row>
    <row r="12" spans="1:48" s="88" customFormat="1" ht="30" customHeight="1" x14ac:dyDescent="0.25">
      <c r="A12" s="88">
        <v>1</v>
      </c>
      <c r="B12" s="88">
        <v>3</v>
      </c>
      <c r="C12" s="88">
        <v>3</v>
      </c>
      <c r="D12" s="88">
        <v>20</v>
      </c>
      <c r="E12" s="96">
        <v>1.24</v>
      </c>
      <c r="F12" s="97">
        <v>8650</v>
      </c>
      <c r="G12" s="98">
        <v>2883.33</v>
      </c>
      <c r="H12" s="99" t="s">
        <v>61</v>
      </c>
      <c r="I12" s="99" t="s">
        <v>62</v>
      </c>
      <c r="J12" s="100">
        <f>Current_Fiscal_Year+MATCH(TRUE,INDEX($R12:$AV12&lt;&gt;"",0),0)-1</f>
        <v>2037</v>
      </c>
      <c r="K12" s="100" t="s">
        <v>63</v>
      </c>
      <c r="L12" s="100" t="str">
        <f>$J12-Current_Fiscal_Year&amp;IF(COUNT($R12:$AV12)*$G12/$F12&lt;1," to 30+",IF($C12&gt;1," to "&amp;IF($J12-Current_Fiscal_Year+$B12-1&gt;30,"30+",$J12-Current_Fiscal_Year+$B12-1),))</f>
        <v>18 to 30+</v>
      </c>
      <c r="M12" s="101">
        <v>8</v>
      </c>
      <c r="N12" s="102">
        <v>1</v>
      </c>
      <c r="O12" s="103">
        <f>$N12*$G12*$M12</f>
        <v>23066.639999999999</v>
      </c>
      <c r="P12" s="103">
        <f>$N12*$F12*$M12</f>
        <v>69200</v>
      </c>
      <c r="Q12" s="104">
        <f>SUM(R12:AV12)</f>
        <v>100825</v>
      </c>
      <c r="R12" s="105" t="s">
        <v>26</v>
      </c>
      <c r="S12" s="105" t="s">
        <v>26</v>
      </c>
      <c r="T12" s="105" t="s">
        <v>26</v>
      </c>
      <c r="U12" s="105" t="s">
        <v>26</v>
      </c>
      <c r="V12" s="105" t="s">
        <v>26</v>
      </c>
      <c r="W12" s="105" t="s">
        <v>26</v>
      </c>
      <c r="X12" s="105" t="s">
        <v>26</v>
      </c>
      <c r="Y12" s="105" t="s">
        <v>26</v>
      </c>
      <c r="Z12" s="105" t="s">
        <v>26</v>
      </c>
      <c r="AA12" s="105" t="s">
        <v>26</v>
      </c>
      <c r="AB12" s="105" t="s">
        <v>26</v>
      </c>
      <c r="AC12" s="105" t="s">
        <v>26</v>
      </c>
      <c r="AD12" s="105" t="s">
        <v>26</v>
      </c>
      <c r="AE12" s="105" t="s">
        <v>26</v>
      </c>
      <c r="AF12" s="105" t="s">
        <v>26</v>
      </c>
      <c r="AG12" s="105" t="s">
        <v>26</v>
      </c>
      <c r="AH12" s="105" t="s">
        <v>26</v>
      </c>
      <c r="AI12" s="105" t="s">
        <v>26</v>
      </c>
      <c r="AJ12" s="105">
        <f>ROUND($O12*(1+inflation)^AJ$8,0)</f>
        <v>32945</v>
      </c>
      <c r="AK12" s="105">
        <f>ROUND($O12*(1+inflation)^AK$8,0)</f>
        <v>33604</v>
      </c>
      <c r="AL12" s="105">
        <f>ROUND($O12*(1+inflation)^AL$8,0)</f>
        <v>34276</v>
      </c>
      <c r="AM12" s="105" t="s">
        <v>26</v>
      </c>
      <c r="AN12" s="105" t="s">
        <v>26</v>
      </c>
      <c r="AO12" s="105" t="s">
        <v>26</v>
      </c>
      <c r="AP12" s="105" t="s">
        <v>26</v>
      </c>
      <c r="AQ12" s="105" t="s">
        <v>26</v>
      </c>
      <c r="AR12" s="105" t="s">
        <v>26</v>
      </c>
      <c r="AS12" s="105" t="s">
        <v>26</v>
      </c>
      <c r="AT12" s="105" t="s">
        <v>26</v>
      </c>
      <c r="AU12" s="105" t="s">
        <v>26</v>
      </c>
      <c r="AV12" s="105" t="s">
        <v>26</v>
      </c>
    </row>
    <row r="13" spans="1:48" s="106" customFormat="1" ht="30" customHeight="1" x14ac:dyDescent="0.25">
      <c r="A13" s="106">
        <v>1</v>
      </c>
      <c r="B13" s="106">
        <v>3</v>
      </c>
      <c r="C13" s="106">
        <v>3</v>
      </c>
      <c r="D13" s="106">
        <v>20</v>
      </c>
      <c r="E13" s="71">
        <v>1.28</v>
      </c>
      <c r="F13" s="72">
        <v>1900</v>
      </c>
      <c r="G13" s="73">
        <v>633.33000000000004</v>
      </c>
      <c r="H13" s="74" t="s">
        <v>64</v>
      </c>
      <c r="I13" s="74" t="s">
        <v>65</v>
      </c>
      <c r="J13" s="75">
        <f>Current_Fiscal_Year+MATCH(TRUE,INDEX($R13:$AV13&lt;&gt;"",0),0)-1</f>
        <v>2037</v>
      </c>
      <c r="K13" s="75" t="s">
        <v>63</v>
      </c>
      <c r="L13" s="75" t="str">
        <f>$J13-Current_Fiscal_Year&amp;IF(COUNT($R13:$AV13)*$G13/$F13&lt;1," to 30+",IF($C13&gt;1," to "&amp;IF($J13-Current_Fiscal_Year+$B13-1&gt;30,"30+",$J13-Current_Fiscal_Year+$B13-1),))</f>
        <v>18 to 30+</v>
      </c>
      <c r="M13" s="76">
        <v>330</v>
      </c>
      <c r="N13" s="77">
        <v>1</v>
      </c>
      <c r="O13" s="78">
        <f>$N13*$G13*$M13</f>
        <v>208998.90000000002</v>
      </c>
      <c r="P13" s="78">
        <f>$N13*$F13*$M13</f>
        <v>627000</v>
      </c>
      <c r="Q13" s="79">
        <f>SUM(R13:AV13)</f>
        <v>913535</v>
      </c>
      <c r="R13" s="80" t="s">
        <v>26</v>
      </c>
      <c r="S13" s="80" t="s">
        <v>26</v>
      </c>
      <c r="T13" s="80" t="s">
        <v>26</v>
      </c>
      <c r="U13" s="80" t="s">
        <v>26</v>
      </c>
      <c r="V13" s="80" t="s">
        <v>26</v>
      </c>
      <c r="W13" s="80" t="s">
        <v>26</v>
      </c>
      <c r="X13" s="80" t="s">
        <v>26</v>
      </c>
      <c r="Y13" s="80" t="s">
        <v>26</v>
      </c>
      <c r="Z13" s="80" t="s">
        <v>26</v>
      </c>
      <c r="AA13" s="80" t="s">
        <v>26</v>
      </c>
      <c r="AB13" s="80" t="s">
        <v>26</v>
      </c>
      <c r="AC13" s="80" t="s">
        <v>26</v>
      </c>
      <c r="AD13" s="80" t="s">
        <v>26</v>
      </c>
      <c r="AE13" s="80" t="s">
        <v>26</v>
      </c>
      <c r="AF13" s="80" t="s">
        <v>26</v>
      </c>
      <c r="AG13" s="80" t="s">
        <v>26</v>
      </c>
      <c r="AH13" s="80" t="s">
        <v>26</v>
      </c>
      <c r="AI13" s="80" t="s">
        <v>26</v>
      </c>
      <c r="AJ13" s="80">
        <f>ROUND($O13*(1+inflation)^AJ$8,0)</f>
        <v>298502</v>
      </c>
      <c r="AK13" s="80">
        <f>ROUND($O13*(1+inflation)^AK$8,0)</f>
        <v>304472</v>
      </c>
      <c r="AL13" s="80">
        <f>ROUND($O13*(1+inflation)^AL$8,0)</f>
        <v>310561</v>
      </c>
      <c r="AM13" s="80" t="s">
        <v>26</v>
      </c>
      <c r="AN13" s="80" t="s">
        <v>26</v>
      </c>
      <c r="AO13" s="80" t="s">
        <v>26</v>
      </c>
      <c r="AP13" s="80" t="s">
        <v>26</v>
      </c>
      <c r="AQ13" s="80" t="s">
        <v>26</v>
      </c>
      <c r="AR13" s="80" t="s">
        <v>26</v>
      </c>
      <c r="AS13" s="80" t="s">
        <v>26</v>
      </c>
      <c r="AT13" s="80" t="s">
        <v>26</v>
      </c>
      <c r="AU13" s="80" t="s">
        <v>26</v>
      </c>
      <c r="AV13" s="80" t="s">
        <v>26</v>
      </c>
    </row>
    <row r="14" spans="1:48" s="106" customFormat="1" ht="30" customHeight="1" x14ac:dyDescent="0.25">
      <c r="A14" s="106">
        <v>1</v>
      </c>
      <c r="B14" s="106">
        <v>1</v>
      </c>
      <c r="C14" s="106">
        <v>1</v>
      </c>
      <c r="D14" s="106">
        <v>30</v>
      </c>
      <c r="E14" s="71">
        <v>1.46</v>
      </c>
      <c r="F14" s="72">
        <v>63</v>
      </c>
      <c r="G14" s="73">
        <v>63</v>
      </c>
      <c r="H14" s="74" t="s">
        <v>66</v>
      </c>
      <c r="I14" s="74" t="s">
        <v>67</v>
      </c>
      <c r="J14" s="75">
        <f>Current_Fiscal_Year+MATCH(TRUE,INDEX($R14:$AV14&lt;&gt;"",0),0)-1</f>
        <v>2046</v>
      </c>
      <c r="K14" s="75" t="s">
        <v>68</v>
      </c>
      <c r="L14" s="75" t="str">
        <f>$J14-Current_Fiscal_Year&amp;IF(COUNT($R14:$AV14)*$G14/$F14&lt;1," to 30+",IF($C14&gt;1," to "&amp;IF($J14-Current_Fiscal_Year+$B14-1&gt;30,"30+",$J14-Current_Fiscal_Year+$B14-1),))</f>
        <v>27</v>
      </c>
      <c r="M14" s="76">
        <v>200</v>
      </c>
      <c r="N14" s="77">
        <v>1</v>
      </c>
      <c r="O14" s="78">
        <f>$N14*$G14*$M14</f>
        <v>12600</v>
      </c>
      <c r="P14" s="78">
        <f>$N14*$F14*$M14</f>
        <v>12600</v>
      </c>
      <c r="Q14" s="79">
        <f>SUM(R14:AV14)</f>
        <v>21507</v>
      </c>
      <c r="R14" s="80" t="s">
        <v>26</v>
      </c>
      <c r="S14" s="80" t="s">
        <v>26</v>
      </c>
      <c r="T14" s="80" t="s">
        <v>26</v>
      </c>
      <c r="U14" s="80" t="s">
        <v>26</v>
      </c>
      <c r="V14" s="80" t="s">
        <v>26</v>
      </c>
      <c r="W14" s="80" t="s">
        <v>26</v>
      </c>
      <c r="X14" s="80" t="s">
        <v>26</v>
      </c>
      <c r="Y14" s="80" t="s">
        <v>26</v>
      </c>
      <c r="Z14" s="80" t="s">
        <v>26</v>
      </c>
      <c r="AA14" s="80" t="s">
        <v>26</v>
      </c>
      <c r="AB14" s="80" t="s">
        <v>26</v>
      </c>
      <c r="AC14" s="80" t="s">
        <v>26</v>
      </c>
      <c r="AD14" s="80" t="s">
        <v>26</v>
      </c>
      <c r="AE14" s="80" t="s">
        <v>26</v>
      </c>
      <c r="AF14" s="80" t="s">
        <v>26</v>
      </c>
      <c r="AG14" s="80" t="s">
        <v>26</v>
      </c>
      <c r="AH14" s="80" t="s">
        <v>26</v>
      </c>
      <c r="AI14" s="80" t="s">
        <v>26</v>
      </c>
      <c r="AJ14" s="80" t="s">
        <v>26</v>
      </c>
      <c r="AK14" s="80" t="s">
        <v>26</v>
      </c>
      <c r="AL14" s="80" t="s">
        <v>26</v>
      </c>
      <c r="AM14" s="80" t="s">
        <v>26</v>
      </c>
      <c r="AN14" s="80" t="s">
        <v>26</v>
      </c>
      <c r="AO14" s="80" t="s">
        <v>26</v>
      </c>
      <c r="AP14" s="80" t="s">
        <v>26</v>
      </c>
      <c r="AQ14" s="80" t="s">
        <v>26</v>
      </c>
      <c r="AR14" s="80" t="s">
        <v>26</v>
      </c>
      <c r="AS14" s="80">
        <f>ROUND($O14*(1+inflation)^AS$8,0)</f>
        <v>21507</v>
      </c>
      <c r="AT14" s="80" t="s">
        <v>26</v>
      </c>
      <c r="AU14" s="80" t="s">
        <v>26</v>
      </c>
      <c r="AV14" s="80" t="s">
        <v>26</v>
      </c>
    </row>
    <row r="15" spans="1:48" s="106" customFormat="1" ht="30" customHeight="1" x14ac:dyDescent="0.25">
      <c r="A15" s="106">
        <v>1</v>
      </c>
      <c r="B15" s="106">
        <v>1</v>
      </c>
      <c r="C15" s="106">
        <v>1</v>
      </c>
      <c r="D15" s="106">
        <v>10</v>
      </c>
      <c r="E15" s="71">
        <v>1.82</v>
      </c>
      <c r="F15" s="72">
        <v>32200</v>
      </c>
      <c r="G15" s="73">
        <v>32200</v>
      </c>
      <c r="H15" s="74" t="s">
        <v>69</v>
      </c>
      <c r="I15" s="74" t="s">
        <v>70</v>
      </c>
      <c r="J15" s="75">
        <f>Current_Fiscal_Year+MATCH(TRUE,INDEX($R15:$AV15&lt;&gt;"",0),0)-1</f>
        <v>2034</v>
      </c>
      <c r="K15" s="75" t="s">
        <v>71</v>
      </c>
      <c r="L15" s="75" t="str">
        <f>$J15-Current_Fiscal_Year&amp;IF(COUNT($R15:$AV15)*$G15/$F15&lt;1," to 30+",IF($C15&gt;1," to "&amp;IF($J15-Current_Fiscal_Year+$B15-1&gt;30,"30+",$J15-Current_Fiscal_Year+$B15-1),))</f>
        <v>15</v>
      </c>
      <c r="M15" s="76">
        <v>1.1000000000000001</v>
      </c>
      <c r="N15" s="77">
        <v>1</v>
      </c>
      <c r="O15" s="78">
        <f>$N15*$G15*$M15</f>
        <v>35420</v>
      </c>
      <c r="P15" s="78">
        <f>$N15*$F15*$M15</f>
        <v>35420</v>
      </c>
      <c r="Q15" s="79">
        <f>SUM(R15:AV15)</f>
        <v>105781</v>
      </c>
      <c r="R15" s="80" t="s">
        <v>26</v>
      </c>
      <c r="S15" s="80" t="s">
        <v>26</v>
      </c>
      <c r="T15" s="80" t="s">
        <v>26</v>
      </c>
      <c r="U15" s="80" t="s">
        <v>26</v>
      </c>
      <c r="V15" s="80" t="s">
        <v>26</v>
      </c>
      <c r="W15" s="80" t="s">
        <v>26</v>
      </c>
      <c r="X15" s="80" t="s">
        <v>26</v>
      </c>
      <c r="Y15" s="80" t="s">
        <v>26</v>
      </c>
      <c r="Z15" s="80" t="s">
        <v>26</v>
      </c>
      <c r="AA15" s="80" t="s">
        <v>26</v>
      </c>
      <c r="AB15" s="80" t="s">
        <v>26</v>
      </c>
      <c r="AC15" s="80" t="s">
        <v>26</v>
      </c>
      <c r="AD15" s="80" t="s">
        <v>26</v>
      </c>
      <c r="AE15" s="80" t="s">
        <v>26</v>
      </c>
      <c r="AF15" s="80" t="s">
        <v>26</v>
      </c>
      <c r="AG15" s="80">
        <f>ROUND($O15*(1+inflation)^AG$8,0)</f>
        <v>47671</v>
      </c>
      <c r="AH15" s="80" t="s">
        <v>26</v>
      </c>
      <c r="AI15" s="80" t="s">
        <v>26</v>
      </c>
      <c r="AJ15" s="80" t="s">
        <v>26</v>
      </c>
      <c r="AK15" s="80" t="s">
        <v>26</v>
      </c>
      <c r="AL15" s="80" t="s">
        <v>26</v>
      </c>
      <c r="AM15" s="80" t="s">
        <v>26</v>
      </c>
      <c r="AN15" s="80" t="s">
        <v>26</v>
      </c>
      <c r="AO15" s="80" t="s">
        <v>26</v>
      </c>
      <c r="AP15" s="80" t="s">
        <v>26</v>
      </c>
      <c r="AQ15" s="80">
        <f>ROUND($O15*(1+inflation)^AQ$8,0)</f>
        <v>58110</v>
      </c>
      <c r="AR15" s="80" t="s">
        <v>26</v>
      </c>
      <c r="AS15" s="80" t="s">
        <v>26</v>
      </c>
      <c r="AT15" s="80" t="s">
        <v>26</v>
      </c>
      <c r="AU15" s="80" t="s">
        <v>26</v>
      </c>
      <c r="AV15" s="80" t="s">
        <v>26</v>
      </c>
    </row>
    <row r="16" spans="1:48" s="88" customFormat="1" ht="30" customHeight="1" x14ac:dyDescent="0.25">
      <c r="A16" s="88">
        <v>2</v>
      </c>
      <c r="B16" s="88">
        <v>3</v>
      </c>
      <c r="C16" s="88">
        <v>2</v>
      </c>
      <c r="D16" s="88">
        <v>10</v>
      </c>
      <c r="E16" s="96">
        <v>1.84</v>
      </c>
      <c r="F16" s="97">
        <v>63</v>
      </c>
      <c r="G16" s="98">
        <v>31.5</v>
      </c>
      <c r="H16" s="99" t="s">
        <v>51</v>
      </c>
      <c r="I16" s="99" t="s">
        <v>73</v>
      </c>
      <c r="J16" s="100">
        <f>Current_Fiscal_Year+MATCH(TRUE,INDEX($R16:$AV16&lt;&gt;"",0),0)-1</f>
        <v>2025</v>
      </c>
      <c r="K16" s="100" t="s">
        <v>74</v>
      </c>
      <c r="L16" s="100" t="str">
        <f>$J16-Current_Fiscal_Year&amp;IF(COUNT($R16:$AV16)*$G16/$F16&lt;1," to 30+",IF($C16&gt;1," to "&amp;IF($J16-Current_Fiscal_Year+$B16-1&gt;30,"30+",$J16-Current_Fiscal_Year+$B16-1),))</f>
        <v>6 to 8</v>
      </c>
      <c r="M16" s="101">
        <v>2000</v>
      </c>
      <c r="N16" s="102">
        <v>1</v>
      </c>
      <c r="O16" s="103">
        <f>$N16*$G16*$M16</f>
        <v>63000</v>
      </c>
      <c r="P16" s="103">
        <f>$N16*$F16*$M16</f>
        <v>126000</v>
      </c>
      <c r="Q16" s="104">
        <f>SUM(R16:AV16)</f>
        <v>536338</v>
      </c>
      <c r="R16" s="105" t="s">
        <v>26</v>
      </c>
      <c r="S16" s="105" t="s">
        <v>26</v>
      </c>
      <c r="T16" s="105" t="s">
        <v>26</v>
      </c>
      <c r="U16" s="105" t="s">
        <v>26</v>
      </c>
      <c r="V16" s="105" t="s">
        <v>26</v>
      </c>
      <c r="W16" s="105" t="s">
        <v>26</v>
      </c>
      <c r="X16" s="105">
        <f>ROUND($O16*(1+inflation)^X$8,0)</f>
        <v>70948</v>
      </c>
      <c r="Y16" s="105" t="s">
        <v>26</v>
      </c>
      <c r="Z16" s="105">
        <f>ROUND($O16*(1+inflation)^Z$8,0)</f>
        <v>73815</v>
      </c>
      <c r="AA16" s="105" t="s">
        <v>26</v>
      </c>
      <c r="AB16" s="105" t="s">
        <v>26</v>
      </c>
      <c r="AC16" s="105" t="s">
        <v>26</v>
      </c>
      <c r="AD16" s="105" t="s">
        <v>26</v>
      </c>
      <c r="AE16" s="105" t="s">
        <v>26</v>
      </c>
      <c r="AF16" s="105" t="s">
        <v>26</v>
      </c>
      <c r="AG16" s="105" t="s">
        <v>26</v>
      </c>
      <c r="AH16" s="105">
        <f>ROUND($O16*(1+inflation)^AH$8,0)</f>
        <v>86485</v>
      </c>
      <c r="AI16" s="105" t="s">
        <v>26</v>
      </c>
      <c r="AJ16" s="105">
        <f>ROUND($O16*(1+inflation)^AJ$8,0)</f>
        <v>89980</v>
      </c>
      <c r="AK16" s="105" t="s">
        <v>26</v>
      </c>
      <c r="AL16" s="105" t="s">
        <v>26</v>
      </c>
      <c r="AM16" s="105" t="s">
        <v>26</v>
      </c>
      <c r="AN16" s="105" t="s">
        <v>26</v>
      </c>
      <c r="AO16" s="105" t="s">
        <v>26</v>
      </c>
      <c r="AP16" s="105" t="s">
        <v>26</v>
      </c>
      <c r="AQ16" s="105" t="s">
        <v>26</v>
      </c>
      <c r="AR16" s="105">
        <f>ROUND($O16*(1+inflation)^AR$8,0)</f>
        <v>105425</v>
      </c>
      <c r="AS16" s="105" t="s">
        <v>26</v>
      </c>
      <c r="AT16" s="105">
        <f>ROUND($O16*(1+inflation)^AT$8,0)</f>
        <v>109685</v>
      </c>
      <c r="AU16" s="105" t="s">
        <v>26</v>
      </c>
      <c r="AV16" s="105" t="s">
        <v>26</v>
      </c>
    </row>
    <row r="17" spans="1:48" s="88" customFormat="1" ht="30" customHeight="1" x14ac:dyDescent="0.25">
      <c r="E17" s="99"/>
      <c r="F17" s="99"/>
      <c r="G17" s="99"/>
      <c r="H17" s="99"/>
      <c r="I17" s="99"/>
      <c r="J17" s="89"/>
      <c r="K17" s="89"/>
      <c r="L17" s="100"/>
      <c r="M17" s="94"/>
      <c r="N17" s="89"/>
      <c r="O17" s="94"/>
      <c r="P17" s="103"/>
      <c r="Q17" s="107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</row>
    <row r="18" spans="1:48" s="88" customFormat="1" ht="30" customHeight="1" x14ac:dyDescent="0.25">
      <c r="E18" s="108"/>
      <c r="F18" s="97"/>
      <c r="G18" s="98"/>
      <c r="H18" s="92"/>
      <c r="I18" s="109" t="s">
        <v>76</v>
      </c>
      <c r="J18" s="89"/>
      <c r="K18" s="89"/>
      <c r="L18" s="100"/>
      <c r="M18" s="94"/>
      <c r="N18" s="89"/>
      <c r="O18" s="94"/>
      <c r="P18" s="103"/>
      <c r="Q18" s="107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</row>
    <row r="19" spans="1:48" s="106" customFormat="1" ht="30" customHeight="1" x14ac:dyDescent="0.25">
      <c r="A19" s="106">
        <v>1</v>
      </c>
      <c r="B19" s="106">
        <v>1</v>
      </c>
      <c r="C19" s="106">
        <v>1</v>
      </c>
      <c r="D19" s="106">
        <v>4</v>
      </c>
      <c r="E19" s="71">
        <v>4.0199999999999996</v>
      </c>
      <c r="F19" s="72">
        <v>7750</v>
      </c>
      <c r="G19" s="73">
        <v>7750</v>
      </c>
      <c r="H19" s="74" t="s">
        <v>77</v>
      </c>
      <c r="I19" s="74" t="s">
        <v>78</v>
      </c>
      <c r="J19" s="75">
        <f>Current_Fiscal_Year+MATCH(TRUE,INDEX($R19:$AV19&lt;&gt;"",0),0)-1</f>
        <v>2023</v>
      </c>
      <c r="K19" s="75" t="s">
        <v>79</v>
      </c>
      <c r="L19" s="75" t="str">
        <f>$J19-Current_Fiscal_Year&amp;IF(COUNT($R19:$AV19)*$G19/$F19&lt;1," to 30+",IF($C19&gt;1," to "&amp;IF($J19-Current_Fiscal_Year+$B19-1&gt;30,"30+",$J19-Current_Fiscal_Year+$B19-1),))</f>
        <v>4</v>
      </c>
      <c r="M19" s="76">
        <v>0.8</v>
      </c>
      <c r="N19" s="77">
        <v>1</v>
      </c>
      <c r="O19" s="78">
        <f>$N19*$G19*$M19</f>
        <v>6200</v>
      </c>
      <c r="P19" s="78">
        <f>$N19*$F19*$M19</f>
        <v>6200</v>
      </c>
      <c r="Q19" s="79">
        <f>SUM(R19:AV19)</f>
        <v>51817</v>
      </c>
      <c r="R19" s="80" t="s">
        <v>26</v>
      </c>
      <c r="S19" s="80" t="s">
        <v>26</v>
      </c>
      <c r="T19" s="80" t="s">
        <v>26</v>
      </c>
      <c r="U19" s="80" t="s">
        <v>26</v>
      </c>
      <c r="V19" s="80">
        <f>ROUND($O19*(1+inflation)^V$8,0)</f>
        <v>6711</v>
      </c>
      <c r="W19" s="80" t="s">
        <v>26</v>
      </c>
      <c r="X19" s="80" t="s">
        <v>26</v>
      </c>
      <c r="Y19" s="80" t="s">
        <v>26</v>
      </c>
      <c r="Z19" s="80">
        <f>ROUND($O19*(1+inflation)^Z$8,0)</f>
        <v>7264</v>
      </c>
      <c r="AA19" s="80" t="s">
        <v>26</v>
      </c>
      <c r="AB19" s="80" t="s">
        <v>26</v>
      </c>
      <c r="AC19" s="80" t="s">
        <v>26</v>
      </c>
      <c r="AD19" s="80">
        <f>ROUND($O19*(1+inflation)^AD$8,0)</f>
        <v>7863</v>
      </c>
      <c r="AE19" s="80" t="s">
        <v>26</v>
      </c>
      <c r="AF19" s="80" t="s">
        <v>26</v>
      </c>
      <c r="AG19" s="80" t="s">
        <v>26</v>
      </c>
      <c r="AH19" s="80"/>
      <c r="AI19" s="80" t="s">
        <v>26</v>
      </c>
      <c r="AJ19" s="80"/>
      <c r="AK19" s="80" t="s">
        <v>26</v>
      </c>
      <c r="AL19" s="80">
        <f>ROUND($O19*(1+inflation)^AL$8,0)</f>
        <v>9213</v>
      </c>
      <c r="AM19" s="80" t="s">
        <v>26</v>
      </c>
      <c r="AN19" s="80" t="s">
        <v>26</v>
      </c>
      <c r="AO19" s="80" t="s">
        <v>26</v>
      </c>
      <c r="AP19" s="80">
        <f>ROUND($O19*(1+inflation)^AP$8,0)</f>
        <v>9972</v>
      </c>
      <c r="AQ19" s="80" t="s">
        <v>26</v>
      </c>
      <c r="AR19" s="80" t="s">
        <v>26</v>
      </c>
      <c r="AS19" s="80" t="s">
        <v>26</v>
      </c>
      <c r="AT19" s="80">
        <f>ROUND($O19*(1+inflation)^AT$8,0)</f>
        <v>10794</v>
      </c>
      <c r="AU19" s="80" t="s">
        <v>26</v>
      </c>
      <c r="AV19" s="80" t="s">
        <v>26</v>
      </c>
    </row>
    <row r="20" spans="1:48" s="106" customFormat="1" ht="30" customHeight="1" x14ac:dyDescent="0.25">
      <c r="A20" s="106">
        <v>1</v>
      </c>
      <c r="B20" s="106">
        <v>1</v>
      </c>
      <c r="C20" s="106">
        <v>1</v>
      </c>
      <c r="D20" s="106">
        <v>20</v>
      </c>
      <c r="E20" s="71">
        <v>4.04</v>
      </c>
      <c r="F20" s="72">
        <v>7750</v>
      </c>
      <c r="G20" s="73">
        <v>7750</v>
      </c>
      <c r="H20" s="74" t="s">
        <v>77</v>
      </c>
      <c r="I20" s="74" t="s">
        <v>80</v>
      </c>
      <c r="J20" s="75">
        <f>Current_Fiscal_Year+MATCH(TRUE,INDEX($R20:$AV20&lt;&gt;"",0),0)-1</f>
        <v>2035</v>
      </c>
      <c r="K20" s="75" t="s">
        <v>63</v>
      </c>
      <c r="L20" s="75" t="str">
        <f>$J20-Current_Fiscal_Year&amp;IF(COUNT($R20:$AV20)*$G20/$F20&lt;1," to 30+",IF($C20&gt;1," to "&amp;IF($J20-Current_Fiscal_Year+$B20-1&gt;30,"30+",$J20-Current_Fiscal_Year+$B20-1),))</f>
        <v>16</v>
      </c>
      <c r="M20" s="76">
        <v>14</v>
      </c>
      <c r="N20" s="77">
        <v>1</v>
      </c>
      <c r="O20" s="78">
        <f>$N20*$G20*$M20</f>
        <v>108500</v>
      </c>
      <c r="P20" s="78">
        <f>$N20*$F20*$M20</f>
        <v>108500</v>
      </c>
      <c r="Q20" s="79">
        <f>SUM(R20:AV20)</f>
        <v>148947</v>
      </c>
      <c r="R20" s="80" t="s">
        <v>26</v>
      </c>
      <c r="S20" s="80" t="s">
        <v>26</v>
      </c>
      <c r="T20" s="80" t="s">
        <v>26</v>
      </c>
      <c r="U20" s="80" t="s">
        <v>26</v>
      </c>
      <c r="V20" s="80" t="s">
        <v>26</v>
      </c>
      <c r="W20" s="80" t="s">
        <v>26</v>
      </c>
      <c r="X20" s="80" t="s">
        <v>26</v>
      </c>
      <c r="Y20" s="80" t="s">
        <v>26</v>
      </c>
      <c r="Z20" s="80" t="s">
        <v>26</v>
      </c>
      <c r="AA20" s="80" t="s">
        <v>26</v>
      </c>
      <c r="AB20" s="80" t="s">
        <v>26</v>
      </c>
      <c r="AC20" s="80" t="s">
        <v>26</v>
      </c>
      <c r="AD20" s="80" t="s">
        <v>26</v>
      </c>
      <c r="AE20" s="80" t="s">
        <v>26</v>
      </c>
      <c r="AF20" s="80" t="s">
        <v>26</v>
      </c>
      <c r="AG20" s="80" t="s">
        <v>26</v>
      </c>
      <c r="AH20" s="80">
        <f>ROUND($O20*(1+inflation)^AH$8,0)</f>
        <v>148947</v>
      </c>
      <c r="AI20" s="80" t="s">
        <v>26</v>
      </c>
      <c r="AJ20" s="80" t="s">
        <v>26</v>
      </c>
      <c r="AK20" s="80" t="s">
        <v>26</v>
      </c>
      <c r="AL20" s="80" t="s">
        <v>26</v>
      </c>
      <c r="AM20" s="80" t="s">
        <v>26</v>
      </c>
      <c r="AN20" s="80" t="s">
        <v>26</v>
      </c>
      <c r="AO20" s="80" t="s">
        <v>26</v>
      </c>
      <c r="AP20" s="80" t="s">
        <v>26</v>
      </c>
      <c r="AQ20" s="80" t="s">
        <v>26</v>
      </c>
      <c r="AR20" s="80" t="s">
        <v>26</v>
      </c>
      <c r="AS20" s="80" t="s">
        <v>26</v>
      </c>
      <c r="AT20" s="80" t="s">
        <v>26</v>
      </c>
      <c r="AU20" s="80" t="s">
        <v>26</v>
      </c>
      <c r="AV20" s="80" t="s">
        <v>26</v>
      </c>
    </row>
    <row r="21" spans="1:48" s="106" customFormat="1" ht="30" customHeight="1" x14ac:dyDescent="0.25">
      <c r="A21" s="106">
        <v>1</v>
      </c>
      <c r="B21" s="106">
        <v>1</v>
      </c>
      <c r="C21" s="106">
        <v>1</v>
      </c>
      <c r="D21" s="106">
        <v>20</v>
      </c>
      <c r="E21" s="71">
        <v>4.0999999999999996</v>
      </c>
      <c r="F21" s="72">
        <v>28</v>
      </c>
      <c r="G21" s="73">
        <v>28</v>
      </c>
      <c r="H21" s="74" t="s">
        <v>66</v>
      </c>
      <c r="I21" s="74" t="s">
        <v>81</v>
      </c>
      <c r="J21" s="75">
        <f>Current_Fiscal_Year+MATCH(TRUE,INDEX($R21:$AV21&lt;&gt;"",0),0)-1</f>
        <v>2035</v>
      </c>
      <c r="K21" s="75" t="s">
        <v>63</v>
      </c>
      <c r="L21" s="75" t="str">
        <f>$J21-Current_Fiscal_Year&amp;IF(COUNT($R21:$AV21)*$G21/$F21&lt;1," to 30+",IF($C21&gt;1," to "&amp;IF($J21-Current_Fiscal_Year+$B21-1&gt;30,"30+",$J21-Current_Fiscal_Year+$B21-1),))</f>
        <v>16</v>
      </c>
      <c r="M21" s="76">
        <v>600</v>
      </c>
      <c r="N21" s="77">
        <v>1</v>
      </c>
      <c r="O21" s="78">
        <f>$N21*$G21*$M21</f>
        <v>16800</v>
      </c>
      <c r="P21" s="78">
        <f>$N21*$F21*$M21</f>
        <v>16800</v>
      </c>
      <c r="Q21" s="79">
        <f>SUM(R21:AV21)</f>
        <v>23063</v>
      </c>
      <c r="R21" s="80" t="s">
        <v>26</v>
      </c>
      <c r="S21" s="80" t="s">
        <v>26</v>
      </c>
      <c r="T21" s="80" t="s">
        <v>26</v>
      </c>
      <c r="U21" s="80" t="s">
        <v>26</v>
      </c>
      <c r="V21" s="80" t="s">
        <v>26</v>
      </c>
      <c r="W21" s="80" t="s">
        <v>26</v>
      </c>
      <c r="X21" s="80" t="s">
        <v>26</v>
      </c>
      <c r="Y21" s="80" t="s">
        <v>26</v>
      </c>
      <c r="Z21" s="80" t="s">
        <v>26</v>
      </c>
      <c r="AA21" s="80" t="s">
        <v>26</v>
      </c>
      <c r="AB21" s="80" t="s">
        <v>26</v>
      </c>
      <c r="AC21" s="80" t="s">
        <v>26</v>
      </c>
      <c r="AD21" s="80" t="s">
        <v>26</v>
      </c>
      <c r="AE21" s="80" t="s">
        <v>26</v>
      </c>
      <c r="AF21" s="80" t="s">
        <v>26</v>
      </c>
      <c r="AG21" s="80" t="s">
        <v>26</v>
      </c>
      <c r="AH21" s="80">
        <f>ROUND($O21*(1+inflation)^AH$8,0)</f>
        <v>23063</v>
      </c>
      <c r="AI21" s="80" t="s">
        <v>26</v>
      </c>
      <c r="AJ21" s="80" t="s">
        <v>26</v>
      </c>
      <c r="AK21" s="80" t="s">
        <v>26</v>
      </c>
      <c r="AL21" s="80" t="s">
        <v>26</v>
      </c>
      <c r="AM21" s="80" t="s">
        <v>26</v>
      </c>
      <c r="AN21" s="80" t="s">
        <v>26</v>
      </c>
      <c r="AO21" s="80" t="s">
        <v>26</v>
      </c>
      <c r="AP21" s="80" t="s">
        <v>26</v>
      </c>
      <c r="AQ21" s="80" t="s">
        <v>26</v>
      </c>
      <c r="AR21" s="80" t="s">
        <v>26</v>
      </c>
      <c r="AS21" s="80" t="s">
        <v>26</v>
      </c>
      <c r="AT21" s="80" t="s">
        <v>26</v>
      </c>
      <c r="AU21" s="80" t="s">
        <v>26</v>
      </c>
      <c r="AV21" s="80" t="s">
        <v>26</v>
      </c>
    </row>
    <row r="22" spans="1:48" s="88" customFormat="1" ht="30" customHeight="1" x14ac:dyDescent="0.25">
      <c r="A22" s="88">
        <v>1</v>
      </c>
      <c r="B22" s="88">
        <v>1</v>
      </c>
      <c r="C22" s="88">
        <v>1</v>
      </c>
      <c r="D22" s="88">
        <v>20</v>
      </c>
      <c r="E22" s="96">
        <v>4.1100000000000003</v>
      </c>
      <c r="F22" s="97">
        <v>5900</v>
      </c>
      <c r="G22" s="98">
        <v>590</v>
      </c>
      <c r="H22" s="99" t="s">
        <v>61</v>
      </c>
      <c r="I22" s="99" t="s">
        <v>82</v>
      </c>
      <c r="J22" s="100">
        <f>Current_Fiscal_Year+MATCH(TRUE,INDEX($R22:$AV22&lt;&gt;"",0),0)-1</f>
        <v>2035</v>
      </c>
      <c r="K22" s="100" t="s">
        <v>83</v>
      </c>
      <c r="L22" s="100" t="str">
        <f>$J22-Current_Fiscal_Year&amp;IF(COUNT($R22:$AV22)*$G22/$F22&lt;1," to 30+",IF($C22&gt;1," to "&amp;IF($J22-Current_Fiscal_Year+$B22-1&gt;30,"30+",$J22-Current_Fiscal_Year+$B22-1),))</f>
        <v>16 to 30+</v>
      </c>
      <c r="M22" s="101">
        <v>34</v>
      </c>
      <c r="N22" s="102">
        <v>1</v>
      </c>
      <c r="O22" s="103">
        <f>$N22*$G22*$M22</f>
        <v>20060</v>
      </c>
      <c r="P22" s="103">
        <f>$N22*$F22*$M22</f>
        <v>200600</v>
      </c>
      <c r="Q22" s="104">
        <f>SUM(R22:AV22)</f>
        <v>27538</v>
      </c>
      <c r="R22" s="105" t="s">
        <v>26</v>
      </c>
      <c r="S22" s="105" t="s">
        <v>26</v>
      </c>
      <c r="T22" s="105" t="s">
        <v>26</v>
      </c>
      <c r="U22" s="105" t="s">
        <v>26</v>
      </c>
      <c r="V22" s="105" t="s">
        <v>26</v>
      </c>
      <c r="W22" s="105" t="s">
        <v>26</v>
      </c>
      <c r="X22" s="105" t="s">
        <v>26</v>
      </c>
      <c r="Y22" s="105" t="s">
        <v>26</v>
      </c>
      <c r="Z22" s="105" t="s">
        <v>26</v>
      </c>
      <c r="AA22" s="105" t="s">
        <v>26</v>
      </c>
      <c r="AB22" s="105" t="s">
        <v>26</v>
      </c>
      <c r="AC22" s="105" t="s">
        <v>26</v>
      </c>
      <c r="AD22" s="105" t="s">
        <v>26</v>
      </c>
      <c r="AE22" s="105" t="s">
        <v>26</v>
      </c>
      <c r="AF22" s="105" t="s">
        <v>26</v>
      </c>
      <c r="AG22" s="105" t="s">
        <v>26</v>
      </c>
      <c r="AH22" s="105">
        <f>ROUND($O22*(1+inflation)^AH$8,0)</f>
        <v>27538</v>
      </c>
      <c r="AI22" s="105" t="s">
        <v>26</v>
      </c>
      <c r="AJ22" s="105" t="s">
        <v>26</v>
      </c>
      <c r="AK22" s="105" t="s">
        <v>26</v>
      </c>
      <c r="AL22" s="105" t="s">
        <v>26</v>
      </c>
      <c r="AM22" s="105" t="s">
        <v>26</v>
      </c>
      <c r="AN22" s="105" t="s">
        <v>26</v>
      </c>
      <c r="AO22" s="105" t="s">
        <v>26</v>
      </c>
      <c r="AP22" s="105" t="s">
        <v>26</v>
      </c>
      <c r="AQ22" s="105" t="s">
        <v>26</v>
      </c>
      <c r="AR22" s="105" t="s">
        <v>26</v>
      </c>
      <c r="AS22" s="105" t="s">
        <v>26</v>
      </c>
      <c r="AT22" s="105" t="s">
        <v>26</v>
      </c>
      <c r="AU22" s="105" t="s">
        <v>26</v>
      </c>
      <c r="AV22" s="105" t="s">
        <v>26</v>
      </c>
    </row>
    <row r="23" spans="1:48" s="88" customFormat="1" ht="30" customHeight="1" x14ac:dyDescent="0.25">
      <c r="A23" s="88">
        <v>1</v>
      </c>
      <c r="B23" s="88">
        <v>1</v>
      </c>
      <c r="C23" s="88">
        <v>4</v>
      </c>
      <c r="D23" s="88">
        <v>5</v>
      </c>
      <c r="E23" s="96">
        <v>4.12</v>
      </c>
      <c r="F23" s="97">
        <v>20200</v>
      </c>
      <c r="G23" s="98">
        <v>1265</v>
      </c>
      <c r="H23" s="99" t="s">
        <v>69</v>
      </c>
      <c r="I23" s="99" t="s">
        <v>84</v>
      </c>
      <c r="J23" s="100">
        <f>Current_Fiscal_Year+MATCH(TRUE,INDEX($R23:$AV23&lt;&gt;"",0),0)-1</f>
        <v>2033</v>
      </c>
      <c r="K23" s="100" t="s">
        <v>83</v>
      </c>
      <c r="L23" s="100" t="str">
        <f>$J23-Current_Fiscal_Year&amp;IF(COUNT($R23:$AV23)*$G23/$F23&lt;1," to 30+",IF($C23&gt;1," to "&amp;IF($J23-Current_Fiscal_Year+$B23-1&gt;30,"30+",$J23-Current_Fiscal_Year+$B23-1),))</f>
        <v>14 to 30+</v>
      </c>
      <c r="M23" s="101">
        <v>11</v>
      </c>
      <c r="N23" s="102">
        <v>1</v>
      </c>
      <c r="O23" s="103">
        <f>$N23*$G23*$M23</f>
        <v>13915</v>
      </c>
      <c r="P23" s="103">
        <f>$N23*$F23*$M23</f>
        <v>222200</v>
      </c>
      <c r="Q23" s="104">
        <f>SUM(R23:AV23)</f>
        <v>85725</v>
      </c>
      <c r="R23" s="105" t="s">
        <v>26</v>
      </c>
      <c r="S23" s="105" t="s">
        <v>26</v>
      </c>
      <c r="T23" s="105" t="s">
        <v>26</v>
      </c>
      <c r="U23" s="105" t="s">
        <v>26</v>
      </c>
      <c r="V23" s="105" t="s">
        <v>26</v>
      </c>
      <c r="W23" s="105" t="s">
        <v>26</v>
      </c>
      <c r="X23" s="105" t="s">
        <v>26</v>
      </c>
      <c r="Y23" s="105" t="s">
        <v>26</v>
      </c>
      <c r="Z23" s="105" t="s">
        <v>26</v>
      </c>
      <c r="AA23" s="105" t="s">
        <v>26</v>
      </c>
      <c r="AB23" s="105" t="s">
        <v>26</v>
      </c>
      <c r="AC23" s="105" t="s">
        <v>26</v>
      </c>
      <c r="AD23" s="105" t="s">
        <v>26</v>
      </c>
      <c r="AE23" s="105" t="s">
        <v>26</v>
      </c>
      <c r="AF23" s="105">
        <f>ROUND($O23*(1+inflation)^AF$8,0)</f>
        <v>18361</v>
      </c>
      <c r="AG23" s="105" t="s">
        <v>26</v>
      </c>
      <c r="AH23" s="105" t="s">
        <v>26</v>
      </c>
      <c r="AI23" s="105" t="s">
        <v>26</v>
      </c>
      <c r="AJ23" s="105" t="s">
        <v>26</v>
      </c>
      <c r="AK23" s="105">
        <f>ROUND($O23*(1+inflation)^AK$8,0)</f>
        <v>20272</v>
      </c>
      <c r="AL23" s="105" t="s">
        <v>26</v>
      </c>
      <c r="AM23" s="105" t="s">
        <v>26</v>
      </c>
      <c r="AN23" s="105" t="s">
        <v>26</v>
      </c>
      <c r="AO23" s="105" t="s">
        <v>26</v>
      </c>
      <c r="AP23" s="105">
        <f>ROUND($O23*(1+inflation)^AP$8,0)</f>
        <v>22381</v>
      </c>
      <c r="AQ23" s="105" t="s">
        <v>26</v>
      </c>
      <c r="AR23" s="105" t="s">
        <v>26</v>
      </c>
      <c r="AS23" s="105" t="s">
        <v>26</v>
      </c>
      <c r="AT23" s="105" t="s">
        <v>26</v>
      </c>
      <c r="AU23" s="105">
        <f>ROUND($O23*(1+inflation)^AU$8,0)</f>
        <v>24711</v>
      </c>
      <c r="AV23" s="105" t="s">
        <v>26</v>
      </c>
    </row>
    <row r="24" spans="1:48" s="88" customFormat="1" ht="30" customHeight="1" x14ac:dyDescent="0.25">
      <c r="A24" s="88">
        <v>1</v>
      </c>
      <c r="B24" s="88">
        <v>1</v>
      </c>
      <c r="C24" s="88">
        <v>4</v>
      </c>
      <c r="D24" s="88">
        <v>5</v>
      </c>
      <c r="E24" s="96">
        <v>4.1399999999999997</v>
      </c>
      <c r="F24" s="97">
        <v>9000</v>
      </c>
      <c r="G24" s="98">
        <v>675</v>
      </c>
      <c r="H24" s="99" t="s">
        <v>69</v>
      </c>
      <c r="I24" s="99" t="s">
        <v>85</v>
      </c>
      <c r="J24" s="100">
        <f>Current_Fiscal_Year+MATCH(TRUE,INDEX($R24:$AV24&lt;&gt;"",0),0)-1</f>
        <v>2033</v>
      </c>
      <c r="K24" s="100" t="s">
        <v>83</v>
      </c>
      <c r="L24" s="100" t="str">
        <f>$J24-Current_Fiscal_Year&amp;IF(COUNT($R24:$AV24)*$G24/$F24&lt;1," to 30+",IF($C24&gt;1," to "&amp;IF($J24-Current_Fiscal_Year+$B24-1&gt;30,"30+",$J24-Current_Fiscal_Year+$B24-1),))</f>
        <v>14 to 30+</v>
      </c>
      <c r="M24" s="101">
        <v>10</v>
      </c>
      <c r="N24" s="102">
        <v>1</v>
      </c>
      <c r="O24" s="103">
        <f>$N24*$G24*$M24</f>
        <v>6750</v>
      </c>
      <c r="P24" s="103">
        <f>$N24*$F24*$M24</f>
        <v>90000</v>
      </c>
      <c r="Q24" s="104">
        <f>SUM(R24:AV24)</f>
        <v>41583</v>
      </c>
      <c r="R24" s="105" t="s">
        <v>26</v>
      </c>
      <c r="S24" s="105" t="s">
        <v>26</v>
      </c>
      <c r="T24" s="105" t="s">
        <v>26</v>
      </c>
      <c r="U24" s="105" t="s">
        <v>26</v>
      </c>
      <c r="V24" s="105" t="s">
        <v>26</v>
      </c>
      <c r="W24" s="105" t="s">
        <v>26</v>
      </c>
      <c r="X24" s="105" t="s">
        <v>26</v>
      </c>
      <c r="Y24" s="105" t="s">
        <v>26</v>
      </c>
      <c r="Z24" s="105" t="s">
        <v>26</v>
      </c>
      <c r="AA24" s="105" t="s">
        <v>26</v>
      </c>
      <c r="AB24" s="105" t="s">
        <v>26</v>
      </c>
      <c r="AC24" s="105" t="s">
        <v>26</v>
      </c>
      <c r="AD24" s="105" t="s">
        <v>26</v>
      </c>
      <c r="AE24" s="105" t="s">
        <v>26</v>
      </c>
      <c r="AF24" s="105">
        <f>ROUND($O24*(1+inflation)^AF$8,0)</f>
        <v>8906</v>
      </c>
      <c r="AG24" s="105" t="s">
        <v>26</v>
      </c>
      <c r="AH24" s="105" t="s">
        <v>26</v>
      </c>
      <c r="AI24" s="105" t="s">
        <v>26</v>
      </c>
      <c r="AJ24" s="105" t="s">
        <v>26</v>
      </c>
      <c r="AK24" s="105">
        <f>ROUND($O24*(1+inflation)^AK$8,0)</f>
        <v>9833</v>
      </c>
      <c r="AL24" s="105" t="s">
        <v>26</v>
      </c>
      <c r="AM24" s="105" t="s">
        <v>26</v>
      </c>
      <c r="AN24" s="105" t="s">
        <v>26</v>
      </c>
      <c r="AO24" s="105" t="s">
        <v>26</v>
      </c>
      <c r="AP24" s="105">
        <f>ROUND($O24*(1+inflation)^AP$8,0)</f>
        <v>10857</v>
      </c>
      <c r="AQ24" s="105" t="s">
        <v>26</v>
      </c>
      <c r="AR24" s="105" t="s">
        <v>26</v>
      </c>
      <c r="AS24" s="105" t="s">
        <v>26</v>
      </c>
      <c r="AT24" s="105" t="s">
        <v>26</v>
      </c>
      <c r="AU24" s="105">
        <f>ROUND($O24*(1+inflation)^AU$8,0)</f>
        <v>11987</v>
      </c>
      <c r="AV24" s="105" t="s">
        <v>26</v>
      </c>
    </row>
    <row r="25" spans="1:48" s="106" customFormat="1" ht="30" customHeight="1" x14ac:dyDescent="0.25">
      <c r="A25" s="106">
        <v>1</v>
      </c>
      <c r="B25" s="106">
        <v>1</v>
      </c>
      <c r="C25" s="106">
        <v>1</v>
      </c>
      <c r="D25" s="106">
        <v>25</v>
      </c>
      <c r="E25" s="71">
        <v>4.2</v>
      </c>
      <c r="F25" s="72">
        <v>1100</v>
      </c>
      <c r="G25" s="73">
        <v>1100</v>
      </c>
      <c r="H25" s="74" t="s">
        <v>61</v>
      </c>
      <c r="I25" s="74" t="s">
        <v>86</v>
      </c>
      <c r="J25" s="75">
        <f>Current_Fiscal_Year+MATCH(TRUE,INDEX($R25:$AV25&lt;&gt;"",0),0)-1</f>
        <v>2040</v>
      </c>
      <c r="K25" s="75" t="s">
        <v>87</v>
      </c>
      <c r="L25" s="75" t="str">
        <f>$J25-Current_Fiscal_Year&amp;IF(COUNT($R25:$AV25)*$G25/$F25&lt;1," to 30+",IF($C25&gt;1," to "&amp;IF($J25-Current_Fiscal_Year+$B25-1&gt;30,"30+",$J25-Current_Fiscal_Year+$B25-1),))</f>
        <v>21</v>
      </c>
      <c r="M25" s="76">
        <v>35</v>
      </c>
      <c r="N25" s="77">
        <v>1</v>
      </c>
      <c r="O25" s="78">
        <f>$N25*$G25*$M25</f>
        <v>38500</v>
      </c>
      <c r="P25" s="78">
        <f>$N25*$F25*$M25</f>
        <v>38500</v>
      </c>
      <c r="Q25" s="79">
        <f>SUM(R25:AV25)</f>
        <v>58353</v>
      </c>
      <c r="R25" s="80" t="s">
        <v>26</v>
      </c>
      <c r="S25" s="80" t="s">
        <v>26</v>
      </c>
      <c r="T25" s="80" t="s">
        <v>26</v>
      </c>
      <c r="U25" s="80" t="s">
        <v>26</v>
      </c>
      <c r="V25" s="80" t="s">
        <v>26</v>
      </c>
      <c r="W25" s="80" t="s">
        <v>26</v>
      </c>
      <c r="X25" s="80" t="s">
        <v>26</v>
      </c>
      <c r="Y25" s="80" t="s">
        <v>26</v>
      </c>
      <c r="Z25" s="80" t="s">
        <v>26</v>
      </c>
      <c r="AA25" s="80" t="s">
        <v>26</v>
      </c>
      <c r="AB25" s="80" t="s">
        <v>26</v>
      </c>
      <c r="AC25" s="80" t="s">
        <v>26</v>
      </c>
      <c r="AD25" s="80" t="s">
        <v>26</v>
      </c>
      <c r="AE25" s="80" t="s">
        <v>26</v>
      </c>
      <c r="AF25" s="80" t="s">
        <v>26</v>
      </c>
      <c r="AG25" s="80" t="s">
        <v>26</v>
      </c>
      <c r="AH25" s="80" t="s">
        <v>26</v>
      </c>
      <c r="AI25" s="80" t="s">
        <v>26</v>
      </c>
      <c r="AJ25" s="80" t="s">
        <v>26</v>
      </c>
      <c r="AK25" s="80" t="s">
        <v>26</v>
      </c>
      <c r="AL25" s="80" t="s">
        <v>26</v>
      </c>
      <c r="AM25" s="80">
        <f>ROUND($O25*(1+inflation)^AM$8,0)</f>
        <v>58353</v>
      </c>
      <c r="AN25" s="80" t="s">
        <v>26</v>
      </c>
      <c r="AO25" s="80" t="s">
        <v>26</v>
      </c>
      <c r="AP25" s="80" t="s">
        <v>26</v>
      </c>
      <c r="AQ25" s="80" t="s">
        <v>26</v>
      </c>
      <c r="AR25" s="80" t="s">
        <v>26</v>
      </c>
      <c r="AS25" s="80" t="s">
        <v>26</v>
      </c>
      <c r="AT25" s="80" t="s">
        <v>26</v>
      </c>
      <c r="AU25" s="80" t="s">
        <v>26</v>
      </c>
      <c r="AV25" s="80" t="s">
        <v>26</v>
      </c>
    </row>
    <row r="26" spans="1:48" s="106" customFormat="1" ht="30" customHeight="1" x14ac:dyDescent="0.25">
      <c r="A26" s="106">
        <v>1</v>
      </c>
      <c r="B26" s="106">
        <v>1</v>
      </c>
      <c r="C26" s="106">
        <v>1</v>
      </c>
      <c r="D26" s="106">
        <v>7</v>
      </c>
      <c r="E26" s="71">
        <v>4.28</v>
      </c>
      <c r="F26" s="72">
        <v>2700</v>
      </c>
      <c r="G26" s="73">
        <v>2700</v>
      </c>
      <c r="H26" s="74" t="s">
        <v>61</v>
      </c>
      <c r="I26" s="74" t="s">
        <v>88</v>
      </c>
      <c r="J26" s="75">
        <f>Current_Fiscal_Year+MATCH(TRUE,INDEX($R26:$AV26&lt;&gt;"",0),0)-1</f>
        <v>2021</v>
      </c>
      <c r="K26" s="75" t="s">
        <v>75</v>
      </c>
      <c r="L26" s="75" t="str">
        <f>$J26-Current_Fiscal_Year&amp;IF(COUNT($R26:$AV26)*$G26/$F26&lt;1," to 30+",IF($C26&gt;1," to "&amp;IF($J26-Current_Fiscal_Year+$B26-1&gt;30,"30+",$J26-Current_Fiscal_Year+$B26-1),))</f>
        <v>2</v>
      </c>
      <c r="M26" s="76">
        <v>4</v>
      </c>
      <c r="N26" s="77">
        <v>1</v>
      </c>
      <c r="O26" s="78">
        <f>$N26*$G26*$M26</f>
        <v>10800</v>
      </c>
      <c r="P26" s="78">
        <f>$N26*$F26*$M26</f>
        <v>10800</v>
      </c>
      <c r="Q26" s="79">
        <f>SUM(R26:AV26)</f>
        <v>60737</v>
      </c>
      <c r="R26" s="80" t="s">
        <v>26</v>
      </c>
      <c r="S26" s="80" t="s">
        <v>26</v>
      </c>
      <c r="T26" s="80">
        <f>ROUND($O26*(1+inflation)^T$8,0)</f>
        <v>11236</v>
      </c>
      <c r="U26" s="80" t="s">
        <v>26</v>
      </c>
      <c r="V26" s="80" t="s">
        <v>26</v>
      </c>
      <c r="W26" s="80" t="s">
        <v>26</v>
      </c>
      <c r="X26" s="80" t="s">
        <v>26</v>
      </c>
      <c r="Y26" s="80" t="s">
        <v>26</v>
      </c>
      <c r="Z26" s="80" t="s">
        <v>26</v>
      </c>
      <c r="AA26" s="80">
        <f>ROUND($O26*(1+inflation)^AA$8,0)</f>
        <v>12907</v>
      </c>
      <c r="AB26" s="80" t="s">
        <v>26</v>
      </c>
      <c r="AC26" s="80" t="s">
        <v>26</v>
      </c>
      <c r="AD26" s="80" t="s">
        <v>26</v>
      </c>
      <c r="AE26" s="80" t="s">
        <v>26</v>
      </c>
      <c r="AF26" s="80" t="s">
        <v>26</v>
      </c>
      <c r="AG26" s="80" t="s">
        <v>26</v>
      </c>
      <c r="AH26" s="80"/>
      <c r="AI26" s="80" t="s">
        <v>26</v>
      </c>
      <c r="AJ26" s="80" t="s">
        <v>26</v>
      </c>
      <c r="AK26" s="80" t="s">
        <v>26</v>
      </c>
      <c r="AL26" s="80" t="s">
        <v>26</v>
      </c>
      <c r="AM26" s="80" t="s">
        <v>26</v>
      </c>
      <c r="AN26" s="80" t="s">
        <v>26</v>
      </c>
      <c r="AO26" s="80">
        <f>ROUND($O26*(1+inflation)^AO$8,0)</f>
        <v>17031</v>
      </c>
      <c r="AP26" s="80" t="s">
        <v>26</v>
      </c>
      <c r="AQ26" s="80" t="s">
        <v>26</v>
      </c>
      <c r="AR26" s="80" t="s">
        <v>26</v>
      </c>
      <c r="AS26" s="80" t="s">
        <v>26</v>
      </c>
      <c r="AT26" s="80" t="s">
        <v>26</v>
      </c>
      <c r="AU26" s="80" t="s">
        <v>26</v>
      </c>
      <c r="AV26" s="80">
        <f>ROUND($O26*(1+inflation)^AV$8,0)</f>
        <v>19563</v>
      </c>
    </row>
    <row r="27" spans="1:48" s="106" customFormat="1" ht="30" customHeight="1" x14ac:dyDescent="0.25">
      <c r="A27" s="106">
        <v>1</v>
      </c>
      <c r="B27" s="106">
        <v>1</v>
      </c>
      <c r="C27" s="106">
        <v>1</v>
      </c>
      <c r="D27" s="106">
        <v>21</v>
      </c>
      <c r="E27" s="71">
        <v>4.2850000000000001</v>
      </c>
      <c r="F27" s="72">
        <v>2700</v>
      </c>
      <c r="G27" s="73">
        <v>2700</v>
      </c>
      <c r="H27" s="74" t="s">
        <v>61</v>
      </c>
      <c r="I27" s="74" t="s">
        <v>89</v>
      </c>
      <c r="J27" s="75">
        <f>Current_Fiscal_Year+MATCH(TRUE,INDEX($R27:$AV27&lt;&gt;"",0),0)-1</f>
        <v>2035</v>
      </c>
      <c r="K27" s="75" t="s">
        <v>63</v>
      </c>
      <c r="L27" s="75" t="str">
        <f>$J27-Current_Fiscal_Year&amp;IF(COUNT($R27:$AV27)*$G27/$F27&lt;1," to 30+",IF($C27&gt;1," to "&amp;IF($J27-Current_Fiscal_Year+$B27-1&gt;30,"30+",$J27-Current_Fiscal_Year+$B27-1),))</f>
        <v>16</v>
      </c>
      <c r="M27" s="76">
        <v>30</v>
      </c>
      <c r="N27" s="77">
        <v>1</v>
      </c>
      <c r="O27" s="78">
        <f>$N27*$G27*$M27</f>
        <v>81000</v>
      </c>
      <c r="P27" s="78">
        <f>$N27*$F27*$M27</f>
        <v>81000</v>
      </c>
      <c r="Q27" s="79">
        <f>SUM(R27:AV27)</f>
        <v>111196</v>
      </c>
      <c r="R27" s="80" t="s">
        <v>26</v>
      </c>
      <c r="S27" s="80" t="s">
        <v>26</v>
      </c>
      <c r="T27" s="80" t="s">
        <v>26</v>
      </c>
      <c r="U27" s="80" t="s">
        <v>26</v>
      </c>
      <c r="V27" s="80" t="s">
        <v>26</v>
      </c>
      <c r="W27" s="80" t="s">
        <v>26</v>
      </c>
      <c r="X27" s="80" t="s">
        <v>26</v>
      </c>
      <c r="Y27" s="80" t="s">
        <v>26</v>
      </c>
      <c r="Z27" s="80" t="s">
        <v>26</v>
      </c>
      <c r="AA27" s="80" t="s">
        <v>26</v>
      </c>
      <c r="AB27" s="80" t="s">
        <v>26</v>
      </c>
      <c r="AC27" s="80" t="s">
        <v>26</v>
      </c>
      <c r="AD27" s="80" t="s">
        <v>26</v>
      </c>
      <c r="AE27" s="80" t="s">
        <v>26</v>
      </c>
      <c r="AF27" s="80" t="s">
        <v>26</v>
      </c>
      <c r="AG27" s="80" t="s">
        <v>26</v>
      </c>
      <c r="AH27" s="80">
        <f>ROUND($O27*(1+inflation)^AH$8,0)</f>
        <v>111196</v>
      </c>
      <c r="AI27" s="80" t="s">
        <v>26</v>
      </c>
      <c r="AJ27" s="80" t="s">
        <v>26</v>
      </c>
      <c r="AK27" s="80" t="s">
        <v>26</v>
      </c>
      <c r="AL27" s="80" t="s">
        <v>26</v>
      </c>
      <c r="AM27" s="80" t="s">
        <v>26</v>
      </c>
      <c r="AN27" s="80" t="s">
        <v>26</v>
      </c>
      <c r="AO27" s="80" t="s">
        <v>26</v>
      </c>
      <c r="AP27" s="80" t="s">
        <v>26</v>
      </c>
      <c r="AQ27" s="80" t="s">
        <v>26</v>
      </c>
      <c r="AR27" s="80" t="s">
        <v>26</v>
      </c>
      <c r="AS27" s="80" t="s">
        <v>26</v>
      </c>
      <c r="AT27" s="80" t="s">
        <v>26</v>
      </c>
      <c r="AU27" s="80" t="s">
        <v>26</v>
      </c>
      <c r="AV27" s="80" t="s">
        <v>26</v>
      </c>
    </row>
    <row r="28" spans="1:48" s="88" customFormat="1" ht="30" customHeight="1" x14ac:dyDescent="0.25">
      <c r="A28" s="88">
        <v>1</v>
      </c>
      <c r="B28" s="88">
        <v>1</v>
      </c>
      <c r="C28" s="88">
        <v>1</v>
      </c>
      <c r="D28" s="88">
        <v>15</v>
      </c>
      <c r="E28" s="96">
        <v>4.3099999999999996</v>
      </c>
      <c r="F28" s="97">
        <v>1</v>
      </c>
      <c r="G28" s="98">
        <v>1</v>
      </c>
      <c r="H28" s="99" t="s">
        <v>90</v>
      </c>
      <c r="I28" s="99" t="s">
        <v>91</v>
      </c>
      <c r="J28" s="100">
        <f>Current_Fiscal_Year+MATCH(TRUE,INDEX($R28:$AV28&lt;&gt;"",0),0)-1</f>
        <v>2028</v>
      </c>
      <c r="K28" s="100" t="s">
        <v>92</v>
      </c>
      <c r="L28" s="100" t="str">
        <f>$J28-Current_Fiscal_Year&amp;IF(COUNT($R28:$AV28)*$G28/$F28&lt;1," to 30+",IF($C28&gt;1," to "&amp;IF($J28-Current_Fiscal_Year+$B28-1&gt;30,"30+",$J28-Current_Fiscal_Year+$B28-1),))</f>
        <v>9</v>
      </c>
      <c r="M28" s="101">
        <v>4000</v>
      </c>
      <c r="N28" s="102">
        <v>1</v>
      </c>
      <c r="O28" s="103">
        <f>$N28*$G28*$M28</f>
        <v>4000</v>
      </c>
      <c r="P28" s="103">
        <f>$N28*$F28*$M28</f>
        <v>4000</v>
      </c>
      <c r="Q28" s="104">
        <f>SUM(R28:AV28)</f>
        <v>11214</v>
      </c>
      <c r="R28" s="105" t="s">
        <v>26</v>
      </c>
      <c r="S28" s="105" t="s">
        <v>26</v>
      </c>
      <c r="T28" s="105" t="s">
        <v>26</v>
      </c>
      <c r="U28" s="105" t="s">
        <v>26</v>
      </c>
      <c r="V28" s="105" t="s">
        <v>26</v>
      </c>
      <c r="W28" s="105" t="s">
        <v>26</v>
      </c>
      <c r="X28" s="105" t="s">
        <v>26</v>
      </c>
      <c r="Y28" s="105" t="s">
        <v>26</v>
      </c>
      <c r="Z28" s="105" t="s">
        <v>26</v>
      </c>
      <c r="AA28" s="105">
        <f>ROUND($O28*(1+inflation)^AA$8,0)</f>
        <v>4780</v>
      </c>
      <c r="AB28" s="105" t="s">
        <v>26</v>
      </c>
      <c r="AC28" s="105" t="s">
        <v>26</v>
      </c>
      <c r="AD28" s="105" t="s">
        <v>26</v>
      </c>
      <c r="AE28" s="105" t="s">
        <v>26</v>
      </c>
      <c r="AF28" s="105" t="s">
        <v>26</v>
      </c>
      <c r="AG28" s="105" t="s">
        <v>26</v>
      </c>
      <c r="AH28" s="105" t="s">
        <v>26</v>
      </c>
      <c r="AI28" s="105" t="s">
        <v>26</v>
      </c>
      <c r="AJ28" s="105" t="s">
        <v>26</v>
      </c>
      <c r="AK28" s="105" t="s">
        <v>26</v>
      </c>
      <c r="AL28" s="105" t="s">
        <v>26</v>
      </c>
      <c r="AM28" s="105" t="s">
        <v>26</v>
      </c>
      <c r="AN28" s="105" t="s">
        <v>26</v>
      </c>
      <c r="AO28" s="105" t="s">
        <v>26</v>
      </c>
      <c r="AP28" s="105">
        <f>ROUND($O28*(1+inflation)^AP$8,0)</f>
        <v>6434</v>
      </c>
      <c r="AQ28" s="105" t="s">
        <v>26</v>
      </c>
      <c r="AR28" s="105" t="s">
        <v>26</v>
      </c>
      <c r="AS28" s="105" t="s">
        <v>26</v>
      </c>
      <c r="AT28" s="105" t="s">
        <v>26</v>
      </c>
      <c r="AU28" s="105" t="s">
        <v>26</v>
      </c>
      <c r="AV28" s="105" t="s">
        <v>26</v>
      </c>
    </row>
    <row r="29" spans="1:48" s="88" customFormat="1" ht="30" customHeight="1" x14ac:dyDescent="0.25">
      <c r="A29" s="88">
        <v>1</v>
      </c>
      <c r="B29" s="88">
        <v>1</v>
      </c>
      <c r="C29" s="88">
        <v>1</v>
      </c>
      <c r="D29" s="88">
        <v>10</v>
      </c>
      <c r="E29" s="96">
        <v>4.32</v>
      </c>
      <c r="F29" s="97">
        <v>4</v>
      </c>
      <c r="G29" s="98">
        <v>4</v>
      </c>
      <c r="H29" s="99" t="s">
        <v>66</v>
      </c>
      <c r="I29" s="99" t="s">
        <v>94</v>
      </c>
      <c r="J29" s="100">
        <f>Current_Fiscal_Year+MATCH(TRUE,INDEX($R29:$AV29&lt;&gt;"",0),0)-1</f>
        <v>2023</v>
      </c>
      <c r="K29" s="100" t="s">
        <v>95</v>
      </c>
      <c r="L29" s="100" t="str">
        <f>$J29-Current_Fiscal_Year&amp;IF(COUNT($R29:$AV29)*$G29/$F29&lt;1," to 30+",IF($C29&gt;1," to "&amp;IF($J29-Current_Fiscal_Year+$B29-1&gt;30,"30+",$J29-Current_Fiscal_Year+$B29-1),))</f>
        <v>4</v>
      </c>
      <c r="M29" s="101">
        <v>3500</v>
      </c>
      <c r="N29" s="102">
        <v>1</v>
      </c>
      <c r="O29" s="103">
        <f>$N29*$G29*$M29</f>
        <v>14000</v>
      </c>
      <c r="P29" s="103">
        <f>$N29*$F29*$M29</f>
        <v>14000</v>
      </c>
      <c r="Q29" s="104">
        <f>SUM(R29:AV29)</f>
        <v>56145</v>
      </c>
      <c r="R29" s="105" t="s">
        <v>26</v>
      </c>
      <c r="S29" s="105" t="s">
        <v>26</v>
      </c>
      <c r="T29" s="105" t="s">
        <v>26</v>
      </c>
      <c r="U29" s="105" t="s">
        <v>26</v>
      </c>
      <c r="V29" s="105">
        <f>ROUND($O29*(1+inflation)^V$8,0)</f>
        <v>15154</v>
      </c>
      <c r="W29" s="105" t="s">
        <v>26</v>
      </c>
      <c r="X29" s="105" t="s">
        <v>26</v>
      </c>
      <c r="Y29" s="105" t="s">
        <v>26</v>
      </c>
      <c r="Z29" s="105" t="s">
        <v>26</v>
      </c>
      <c r="AA29" s="105" t="s">
        <v>26</v>
      </c>
      <c r="AB29" s="105" t="s">
        <v>26</v>
      </c>
      <c r="AC29" s="105" t="s">
        <v>26</v>
      </c>
      <c r="AD29" s="105" t="s">
        <v>26</v>
      </c>
      <c r="AE29" s="105" t="s">
        <v>26</v>
      </c>
      <c r="AF29" s="105">
        <f>ROUND($O29*(1+inflation)^AF$8,0)</f>
        <v>18473</v>
      </c>
      <c r="AG29" s="105" t="s">
        <v>26</v>
      </c>
      <c r="AH29" s="105" t="s">
        <v>26</v>
      </c>
      <c r="AI29" s="105" t="s">
        <v>26</v>
      </c>
      <c r="AJ29" s="105" t="s">
        <v>26</v>
      </c>
      <c r="AK29" s="105" t="s">
        <v>26</v>
      </c>
      <c r="AL29" s="105" t="s">
        <v>26</v>
      </c>
      <c r="AM29" s="105" t="s">
        <v>26</v>
      </c>
      <c r="AN29" s="105" t="s">
        <v>26</v>
      </c>
      <c r="AO29" s="105" t="s">
        <v>26</v>
      </c>
      <c r="AP29" s="105">
        <f>ROUND($O29*(1+inflation)^AP$8,0)</f>
        <v>22518</v>
      </c>
      <c r="AQ29" s="105" t="s">
        <v>26</v>
      </c>
      <c r="AR29" s="105" t="s">
        <v>26</v>
      </c>
      <c r="AS29" s="105" t="s">
        <v>26</v>
      </c>
      <c r="AT29" s="105" t="s">
        <v>26</v>
      </c>
      <c r="AU29" s="105" t="s">
        <v>26</v>
      </c>
      <c r="AV29" s="105" t="s">
        <v>26</v>
      </c>
    </row>
    <row r="30" spans="1:48" s="88" customFormat="1" ht="30" customHeight="1" x14ac:dyDescent="0.25">
      <c r="A30" s="88">
        <v>1</v>
      </c>
      <c r="B30" s="88">
        <v>1</v>
      </c>
      <c r="C30" s="88">
        <v>1</v>
      </c>
      <c r="D30" s="88">
        <v>20</v>
      </c>
      <c r="E30" s="96">
        <v>4.33</v>
      </c>
      <c r="F30" s="97">
        <v>2</v>
      </c>
      <c r="G30" s="98">
        <v>2</v>
      </c>
      <c r="H30" s="99" t="s">
        <v>66</v>
      </c>
      <c r="I30" s="99" t="s">
        <v>96</v>
      </c>
      <c r="J30" s="100">
        <f>Current_Fiscal_Year+MATCH(TRUE,INDEX($R30:$AV30&lt;&gt;"",0),0)-1</f>
        <v>2033</v>
      </c>
      <c r="K30" s="100" t="s">
        <v>93</v>
      </c>
      <c r="L30" s="100" t="str">
        <f>$J30-Current_Fiscal_Year&amp;IF(COUNT($R30:$AV30)*$G30/$F30&lt;1," to 30+",IF($C30&gt;1," to "&amp;IF($J30-Current_Fiscal_Year+$B30-1&gt;30,"30+",$J30-Current_Fiscal_Year+$B30-1),))</f>
        <v>14</v>
      </c>
      <c r="M30" s="101">
        <v>7500</v>
      </c>
      <c r="N30" s="102">
        <v>1</v>
      </c>
      <c r="O30" s="103">
        <f>$N30*$G30*$M30</f>
        <v>15000</v>
      </c>
      <c r="P30" s="103">
        <f>$N30*$F30*$M30</f>
        <v>15000</v>
      </c>
      <c r="Q30" s="104">
        <f>SUM(R30:AV30)</f>
        <v>19792</v>
      </c>
      <c r="R30" s="105" t="s">
        <v>26</v>
      </c>
      <c r="S30" s="105" t="s">
        <v>26</v>
      </c>
      <c r="T30" s="105" t="s">
        <v>26</v>
      </c>
      <c r="U30" s="105" t="s">
        <v>26</v>
      </c>
      <c r="V30" s="105" t="s">
        <v>26</v>
      </c>
      <c r="W30" s="105" t="s">
        <v>26</v>
      </c>
      <c r="X30" s="105" t="s">
        <v>26</v>
      </c>
      <c r="Y30" s="105" t="s">
        <v>26</v>
      </c>
      <c r="Z30" s="105" t="s">
        <v>26</v>
      </c>
      <c r="AA30" s="105" t="s">
        <v>26</v>
      </c>
      <c r="AB30" s="105" t="s">
        <v>26</v>
      </c>
      <c r="AC30" s="105" t="s">
        <v>26</v>
      </c>
      <c r="AD30" s="105" t="s">
        <v>26</v>
      </c>
      <c r="AE30" s="105" t="s">
        <v>26</v>
      </c>
      <c r="AF30" s="105">
        <f>ROUND($O30*(1+inflation)^AF$8,0)</f>
        <v>19792</v>
      </c>
      <c r="AG30" s="105" t="s">
        <v>26</v>
      </c>
      <c r="AH30" s="105" t="s">
        <v>26</v>
      </c>
      <c r="AI30" s="105" t="s">
        <v>26</v>
      </c>
      <c r="AJ30" s="105" t="s">
        <v>26</v>
      </c>
      <c r="AK30" s="105" t="s">
        <v>26</v>
      </c>
      <c r="AL30" s="105" t="s">
        <v>26</v>
      </c>
      <c r="AM30" s="105" t="s">
        <v>26</v>
      </c>
      <c r="AN30" s="105" t="s">
        <v>26</v>
      </c>
      <c r="AO30" s="105" t="s">
        <v>26</v>
      </c>
      <c r="AP30" s="105" t="s">
        <v>26</v>
      </c>
      <c r="AQ30" s="105" t="s">
        <v>26</v>
      </c>
      <c r="AR30" s="105" t="s">
        <v>26</v>
      </c>
      <c r="AS30" s="105" t="s">
        <v>26</v>
      </c>
      <c r="AT30" s="105" t="s">
        <v>26</v>
      </c>
      <c r="AU30" s="105" t="s">
        <v>26</v>
      </c>
      <c r="AV30" s="105" t="s">
        <v>26</v>
      </c>
    </row>
    <row r="31" spans="1:48" s="106" customFormat="1" ht="30" customHeight="1" x14ac:dyDescent="0.25">
      <c r="A31" s="106">
        <v>1</v>
      </c>
      <c r="B31" s="106">
        <v>1</v>
      </c>
      <c r="C31" s="106">
        <v>1</v>
      </c>
      <c r="D31" s="106">
        <v>25</v>
      </c>
      <c r="E31" s="71">
        <v>4.5999999999999996</v>
      </c>
      <c r="F31" s="72">
        <v>20</v>
      </c>
      <c r="G31" s="73">
        <v>20</v>
      </c>
      <c r="H31" s="74" t="s">
        <v>66</v>
      </c>
      <c r="I31" s="74" t="s">
        <v>97</v>
      </c>
      <c r="J31" s="75">
        <f>Current_Fiscal_Year+MATCH(TRUE,INDEX($R31:$AV31&lt;&gt;"",0),0)-1</f>
        <v>2042</v>
      </c>
      <c r="K31" s="75" t="s">
        <v>87</v>
      </c>
      <c r="L31" s="75" t="str">
        <f>$J31-Current_Fiscal_Year&amp;IF(COUNT($R31:$AV31)*$G31/$F31&lt;1," to 30+",IF($C31&gt;1," to "&amp;IF($J31-Current_Fiscal_Year+$B31-1&gt;30,"30+",$J31-Current_Fiscal_Year+$B31-1),))</f>
        <v>23</v>
      </c>
      <c r="M31" s="76">
        <v>400</v>
      </c>
      <c r="N31" s="77">
        <v>1</v>
      </c>
      <c r="O31" s="78">
        <f>$N31*$G31*$M31</f>
        <v>8000</v>
      </c>
      <c r="P31" s="78">
        <f>$N31*$F31*$M31</f>
        <v>8000</v>
      </c>
      <c r="Q31" s="79">
        <f>SUM(R31:AV31)</f>
        <v>12615</v>
      </c>
      <c r="R31" s="80" t="s">
        <v>26</v>
      </c>
      <c r="S31" s="80" t="s">
        <v>26</v>
      </c>
      <c r="T31" s="80" t="s">
        <v>26</v>
      </c>
      <c r="U31" s="80" t="s">
        <v>26</v>
      </c>
      <c r="V31" s="80" t="s">
        <v>26</v>
      </c>
      <c r="W31" s="80" t="s">
        <v>26</v>
      </c>
      <c r="X31" s="80" t="s">
        <v>26</v>
      </c>
      <c r="Y31" s="80" t="s">
        <v>26</v>
      </c>
      <c r="Z31" s="80" t="s">
        <v>26</v>
      </c>
      <c r="AA31" s="80" t="s">
        <v>26</v>
      </c>
      <c r="AB31" s="80" t="s">
        <v>26</v>
      </c>
      <c r="AC31" s="80" t="s">
        <v>26</v>
      </c>
      <c r="AD31" s="80" t="s">
        <v>26</v>
      </c>
      <c r="AE31" s="80" t="s">
        <v>26</v>
      </c>
      <c r="AF31" s="80" t="s">
        <v>26</v>
      </c>
      <c r="AG31" s="80" t="s">
        <v>26</v>
      </c>
      <c r="AH31" s="80" t="s">
        <v>26</v>
      </c>
      <c r="AI31" s="80" t="s">
        <v>26</v>
      </c>
      <c r="AJ31" s="80" t="s">
        <v>26</v>
      </c>
      <c r="AK31" s="80" t="s">
        <v>26</v>
      </c>
      <c r="AL31" s="80" t="s">
        <v>26</v>
      </c>
      <c r="AM31" s="80" t="s">
        <v>26</v>
      </c>
      <c r="AN31" s="80" t="s">
        <v>26</v>
      </c>
      <c r="AO31" s="80">
        <f>ROUND($O31*(1+inflation)^AO$8,0)</f>
        <v>12615</v>
      </c>
      <c r="AP31" s="80" t="s">
        <v>26</v>
      </c>
      <c r="AQ31" s="80" t="s">
        <v>26</v>
      </c>
      <c r="AR31" s="80" t="s">
        <v>26</v>
      </c>
      <c r="AS31" s="80" t="s">
        <v>26</v>
      </c>
      <c r="AT31" s="80" t="s">
        <v>26</v>
      </c>
      <c r="AU31" s="80" t="s">
        <v>26</v>
      </c>
      <c r="AV31" s="80" t="s">
        <v>26</v>
      </c>
    </row>
    <row r="32" spans="1:48" s="106" customFormat="1" ht="30" customHeight="1" x14ac:dyDescent="0.25">
      <c r="A32" s="106">
        <v>1</v>
      </c>
      <c r="B32" s="106">
        <v>1</v>
      </c>
      <c r="C32" s="106">
        <v>1</v>
      </c>
      <c r="D32" s="106">
        <v>100</v>
      </c>
      <c r="E32" s="71">
        <v>4.8</v>
      </c>
      <c r="F32" s="72">
        <v>1</v>
      </c>
      <c r="G32" s="73">
        <v>1</v>
      </c>
      <c r="H32" s="74" t="s">
        <v>72</v>
      </c>
      <c r="I32" s="74" t="s">
        <v>98</v>
      </c>
      <c r="J32" s="75">
        <f>Current_Fiscal_Year+MATCH(TRUE,INDEX($R32:$AV32&lt;&gt;"",0),0)-1</f>
        <v>2020</v>
      </c>
      <c r="K32" s="75" t="s">
        <v>100</v>
      </c>
      <c r="L32" s="75" t="str">
        <f>$J32-Current_Fiscal_Year&amp;IF(COUNT($R32:$AV32)*$G32/$F32&lt;1," to 30+",IF($C32&gt;1," to "&amp;IF($J32-Current_Fiscal_Year+$B32-1&gt;30,"30+",$J32-Current_Fiscal_Year+$B32-1),))</f>
        <v>1</v>
      </c>
      <c r="M32" s="76">
        <v>6000</v>
      </c>
      <c r="N32" s="77">
        <v>1</v>
      </c>
      <c r="O32" s="78">
        <f>$N32*$G32*$M32</f>
        <v>6000</v>
      </c>
      <c r="P32" s="78">
        <f>$N32*$F32*$M32</f>
        <v>6000</v>
      </c>
      <c r="Q32" s="79">
        <f>SUM(R32:AV32)</f>
        <v>6120</v>
      </c>
      <c r="R32" s="80" t="s">
        <v>26</v>
      </c>
      <c r="S32" s="80">
        <f>ROUND($O32*(1+inflation)^S$8,0)</f>
        <v>6120</v>
      </c>
      <c r="T32" s="80" t="s">
        <v>26</v>
      </c>
      <c r="U32" s="80" t="s">
        <v>26</v>
      </c>
      <c r="V32" s="80" t="s">
        <v>26</v>
      </c>
      <c r="W32" s="80" t="s">
        <v>26</v>
      </c>
      <c r="X32" s="80" t="s">
        <v>26</v>
      </c>
      <c r="Y32" s="80" t="s">
        <v>26</v>
      </c>
      <c r="Z32" s="80" t="s">
        <v>26</v>
      </c>
      <c r="AA32" s="80" t="s">
        <v>26</v>
      </c>
      <c r="AB32" s="80" t="s">
        <v>26</v>
      </c>
      <c r="AC32" s="80" t="s">
        <v>26</v>
      </c>
      <c r="AD32" s="80" t="s">
        <v>26</v>
      </c>
      <c r="AE32" s="80" t="s">
        <v>26</v>
      </c>
      <c r="AF32" s="80" t="s">
        <v>26</v>
      </c>
      <c r="AG32" s="80" t="s">
        <v>26</v>
      </c>
      <c r="AH32" s="80" t="s">
        <v>26</v>
      </c>
      <c r="AI32" s="80" t="s">
        <v>26</v>
      </c>
      <c r="AJ32" s="80" t="s">
        <v>26</v>
      </c>
      <c r="AK32" s="80" t="s">
        <v>26</v>
      </c>
      <c r="AL32" s="80" t="s">
        <v>26</v>
      </c>
      <c r="AM32" s="80" t="s">
        <v>26</v>
      </c>
      <c r="AN32" s="80" t="s">
        <v>26</v>
      </c>
      <c r="AO32" s="80" t="s">
        <v>26</v>
      </c>
      <c r="AP32" s="80" t="s">
        <v>26</v>
      </c>
      <c r="AQ32" s="80" t="s">
        <v>26</v>
      </c>
      <c r="AR32" s="80" t="s">
        <v>26</v>
      </c>
      <c r="AS32" s="80" t="s">
        <v>26</v>
      </c>
      <c r="AT32" s="80" t="s">
        <v>26</v>
      </c>
      <c r="AU32" s="80" t="s">
        <v>26</v>
      </c>
      <c r="AV32" s="80" t="s">
        <v>26</v>
      </c>
    </row>
    <row r="33" spans="1:48" s="106" customFormat="1" ht="30" customHeight="1" x14ac:dyDescent="0.25">
      <c r="A33" s="106">
        <v>1</v>
      </c>
      <c r="B33" s="106">
        <v>1</v>
      </c>
      <c r="C33" s="106">
        <v>1</v>
      </c>
      <c r="D33" s="106">
        <v>15</v>
      </c>
      <c r="E33" s="71">
        <v>4.71</v>
      </c>
      <c r="F33" s="72">
        <v>550</v>
      </c>
      <c r="G33" s="73">
        <v>110</v>
      </c>
      <c r="H33" s="74" t="s">
        <v>61</v>
      </c>
      <c r="I33" s="74" t="s">
        <v>101</v>
      </c>
      <c r="J33" s="75">
        <f>Current_Fiscal_Year+MATCH(TRUE,INDEX($R33:$AV33&lt;&gt;"",0),0)-1</f>
        <v>2023</v>
      </c>
      <c r="K33" s="75" t="s">
        <v>102</v>
      </c>
      <c r="L33" s="75" t="str">
        <f>$J33-Current_Fiscal_Year&amp;IF(COUNT($R33:$AV33)*$G33/$F33&lt;1," to 30+",IF($C33&gt;1," to "&amp;IF($J33-Current_Fiscal_Year+$B33-1&gt;30,"30+",$J33-Current_Fiscal_Year+$B33-1),))</f>
        <v>4 to 30+</v>
      </c>
      <c r="M33" s="76">
        <v>39</v>
      </c>
      <c r="N33" s="77">
        <v>1</v>
      </c>
      <c r="O33" s="78">
        <f>$N33*$G33*$M33</f>
        <v>4290</v>
      </c>
      <c r="P33" s="78">
        <f>$N33*$F33*$M33</f>
        <v>21450</v>
      </c>
      <c r="Q33" s="79">
        <f>SUM(R33:AV33)</f>
        <v>10894</v>
      </c>
      <c r="R33" s="80" t="s">
        <v>26</v>
      </c>
      <c r="S33" s="80" t="s">
        <v>26</v>
      </c>
      <c r="T33" s="80" t="s">
        <v>26</v>
      </c>
      <c r="U33" s="80" t="s">
        <v>26</v>
      </c>
      <c r="V33" s="80">
        <f>ROUND($O33*(1+inflation)^V$8,0)</f>
        <v>4644</v>
      </c>
      <c r="W33" s="80" t="s">
        <v>26</v>
      </c>
      <c r="X33" s="80" t="s">
        <v>26</v>
      </c>
      <c r="Y33" s="80" t="s">
        <v>26</v>
      </c>
      <c r="Z33" s="80" t="s">
        <v>26</v>
      </c>
      <c r="AA33" s="80" t="s">
        <v>26</v>
      </c>
      <c r="AB33" s="80" t="s">
        <v>26</v>
      </c>
      <c r="AC33" s="80" t="s">
        <v>26</v>
      </c>
      <c r="AD33" s="80" t="s">
        <v>26</v>
      </c>
      <c r="AE33" s="80" t="s">
        <v>26</v>
      </c>
      <c r="AF33" s="80" t="s">
        <v>26</v>
      </c>
      <c r="AG33" s="80" t="s">
        <v>26</v>
      </c>
      <c r="AH33" s="80" t="s">
        <v>26</v>
      </c>
      <c r="AI33" s="80" t="s">
        <v>26</v>
      </c>
      <c r="AJ33" s="80" t="s">
        <v>26</v>
      </c>
      <c r="AK33" s="80">
        <f>ROUND($O33*(1+inflation)^AK$8,0)</f>
        <v>6250</v>
      </c>
      <c r="AL33" s="80" t="s">
        <v>26</v>
      </c>
      <c r="AM33" s="80" t="s">
        <v>26</v>
      </c>
      <c r="AN33" s="80" t="s">
        <v>26</v>
      </c>
      <c r="AO33" s="80" t="s">
        <v>26</v>
      </c>
      <c r="AP33" s="80" t="s">
        <v>26</v>
      </c>
      <c r="AQ33" s="80" t="s">
        <v>26</v>
      </c>
      <c r="AR33" s="80" t="s">
        <v>26</v>
      </c>
      <c r="AS33" s="80" t="s">
        <v>26</v>
      </c>
      <c r="AT33" s="80" t="s">
        <v>26</v>
      </c>
      <c r="AU33" s="80" t="s">
        <v>26</v>
      </c>
      <c r="AV33" s="80" t="s">
        <v>26</v>
      </c>
    </row>
    <row r="34" spans="1:48" s="88" customFormat="1" ht="30" customHeight="1" x14ac:dyDescent="0.25">
      <c r="A34" s="88">
        <v>1</v>
      </c>
      <c r="B34" s="88">
        <v>1</v>
      </c>
      <c r="C34" s="88">
        <v>1</v>
      </c>
      <c r="D34" s="88">
        <v>25</v>
      </c>
      <c r="E34" s="96">
        <v>4.7300000000000004</v>
      </c>
      <c r="F34" s="97">
        <v>1</v>
      </c>
      <c r="G34" s="98">
        <v>1</v>
      </c>
      <c r="H34" s="99" t="s">
        <v>72</v>
      </c>
      <c r="I34" s="99" t="s">
        <v>103</v>
      </c>
      <c r="J34" s="100">
        <f>Current_Fiscal_Year+MATCH(TRUE,INDEX($R34:$AV34&lt;&gt;"",0),0)-1</f>
        <v>2038</v>
      </c>
      <c r="K34" s="100" t="s">
        <v>104</v>
      </c>
      <c r="L34" s="100" t="str">
        <f>$J34-Current_Fiscal_Year&amp;IF(COUNT($R34:$AV34)*$G34/$F34&lt;1," to 30+",IF($C34&gt;1," to "&amp;IF($J34-Current_Fiscal_Year+$B34-1&gt;30,"30+",$J34-Current_Fiscal_Year+$B34-1),))</f>
        <v>19</v>
      </c>
      <c r="M34" s="101">
        <v>30000</v>
      </c>
      <c r="N34" s="102">
        <v>1</v>
      </c>
      <c r="O34" s="103">
        <f>$N34*$G34*$M34</f>
        <v>30000</v>
      </c>
      <c r="P34" s="103">
        <f>$N34*$F34*$M34</f>
        <v>30000</v>
      </c>
      <c r="Q34" s="104">
        <f>SUM(R34:AV34)</f>
        <v>43704</v>
      </c>
      <c r="R34" s="105" t="s">
        <v>26</v>
      </c>
      <c r="S34" s="105" t="s">
        <v>26</v>
      </c>
      <c r="T34" s="105" t="s">
        <v>26</v>
      </c>
      <c r="U34" s="105" t="s">
        <v>26</v>
      </c>
      <c r="V34" s="105" t="s">
        <v>26</v>
      </c>
      <c r="W34" s="105" t="s">
        <v>26</v>
      </c>
      <c r="X34" s="105" t="s">
        <v>26</v>
      </c>
      <c r="Y34" s="105" t="s">
        <v>26</v>
      </c>
      <c r="Z34" s="105" t="s">
        <v>26</v>
      </c>
      <c r="AA34" s="105" t="s">
        <v>26</v>
      </c>
      <c r="AB34" s="105" t="s">
        <v>26</v>
      </c>
      <c r="AC34" s="105" t="s">
        <v>26</v>
      </c>
      <c r="AD34" s="105" t="s">
        <v>26</v>
      </c>
      <c r="AE34" s="105" t="s">
        <v>26</v>
      </c>
      <c r="AF34" s="105" t="s">
        <v>26</v>
      </c>
      <c r="AG34" s="105" t="s">
        <v>26</v>
      </c>
      <c r="AH34" s="105" t="s">
        <v>26</v>
      </c>
      <c r="AI34" s="105" t="s">
        <v>26</v>
      </c>
      <c r="AJ34" s="105" t="s">
        <v>26</v>
      </c>
      <c r="AK34" s="105">
        <f>ROUND($O34*(1+inflation)^AK$8,0)</f>
        <v>43704</v>
      </c>
      <c r="AL34" s="105" t="s">
        <v>26</v>
      </c>
      <c r="AM34" s="105" t="s">
        <v>26</v>
      </c>
      <c r="AN34" s="105" t="s">
        <v>26</v>
      </c>
      <c r="AO34" s="105" t="s">
        <v>26</v>
      </c>
      <c r="AP34" s="105" t="s">
        <v>26</v>
      </c>
      <c r="AQ34" s="105" t="s">
        <v>26</v>
      </c>
      <c r="AR34" s="105" t="s">
        <v>26</v>
      </c>
      <c r="AS34" s="105" t="s">
        <v>26</v>
      </c>
      <c r="AT34" s="105" t="s">
        <v>26</v>
      </c>
      <c r="AU34" s="105" t="s">
        <v>26</v>
      </c>
      <c r="AV34" s="105" t="s">
        <v>26</v>
      </c>
    </row>
    <row r="35" spans="1:48" s="88" customFormat="1" ht="30" customHeight="1" x14ac:dyDescent="0.25">
      <c r="A35" s="88">
        <v>1</v>
      </c>
      <c r="B35" s="88">
        <v>1</v>
      </c>
      <c r="C35" s="88">
        <v>1</v>
      </c>
      <c r="D35" s="88">
        <v>12</v>
      </c>
      <c r="E35" s="96">
        <v>4.7350000000000003</v>
      </c>
      <c r="F35" s="97">
        <v>6050</v>
      </c>
      <c r="G35" s="98">
        <v>6050</v>
      </c>
      <c r="H35" s="99" t="s">
        <v>69</v>
      </c>
      <c r="I35" s="99" t="s">
        <v>105</v>
      </c>
      <c r="J35" s="100">
        <f>Current_Fiscal_Year+MATCH(TRUE,INDEX($R35:$AV35&lt;&gt;"",0),0)-1</f>
        <v>2035</v>
      </c>
      <c r="K35" s="100" t="s">
        <v>92</v>
      </c>
      <c r="L35" s="100" t="str">
        <f>$J35-Current_Fiscal_Year&amp;IF(COUNT($R35:$AV35)*$G35/$F35&lt;1," to 30+",IF($C35&gt;1," to "&amp;IF($J35-Current_Fiscal_Year+$B35-1&gt;30,"30+",$J35-Current_Fiscal_Year+$B35-1),))</f>
        <v>16</v>
      </c>
      <c r="M35" s="101">
        <v>5.5</v>
      </c>
      <c r="N35" s="102">
        <v>1</v>
      </c>
      <c r="O35" s="103">
        <f>$N35*$G35*$M35</f>
        <v>33275</v>
      </c>
      <c r="P35" s="103">
        <f>$N35*$F35*$M35</f>
        <v>33275</v>
      </c>
      <c r="Q35" s="104">
        <f>SUM(R35:AV35)</f>
        <v>103612</v>
      </c>
      <c r="R35" s="105" t="s">
        <v>26</v>
      </c>
      <c r="S35" s="105" t="s">
        <v>26</v>
      </c>
      <c r="T35" s="105" t="s">
        <v>26</v>
      </c>
      <c r="U35" s="105" t="s">
        <v>26</v>
      </c>
      <c r="V35" s="105" t="s">
        <v>26</v>
      </c>
      <c r="W35" s="105" t="s">
        <v>26</v>
      </c>
      <c r="X35" s="105" t="s">
        <v>26</v>
      </c>
      <c r="Y35" s="105" t="s">
        <v>26</v>
      </c>
      <c r="Z35" s="105" t="s">
        <v>26</v>
      </c>
      <c r="AA35" s="105" t="s">
        <v>26</v>
      </c>
      <c r="AB35" s="105" t="s">
        <v>26</v>
      </c>
      <c r="AC35" s="105" t="s">
        <v>26</v>
      </c>
      <c r="AD35" s="105" t="s">
        <v>26</v>
      </c>
      <c r="AE35" s="105" t="s">
        <v>26</v>
      </c>
      <c r="AF35" s="105" t="s">
        <v>26</v>
      </c>
      <c r="AG35" s="105" t="s">
        <v>26</v>
      </c>
      <c r="AH35" s="105">
        <f>ROUND($O35*(1+inflation)^AH$8,0)</f>
        <v>45679</v>
      </c>
      <c r="AI35" s="105" t="s">
        <v>26</v>
      </c>
      <c r="AJ35" s="105" t="s">
        <v>26</v>
      </c>
      <c r="AK35" s="105" t="s">
        <v>26</v>
      </c>
      <c r="AL35" s="105" t="s">
        <v>26</v>
      </c>
      <c r="AM35" s="105" t="s">
        <v>26</v>
      </c>
      <c r="AN35" s="105" t="s">
        <v>26</v>
      </c>
      <c r="AO35" s="105" t="s">
        <v>26</v>
      </c>
      <c r="AP35" s="105" t="s">
        <v>26</v>
      </c>
      <c r="AQ35" s="105" t="s">
        <v>26</v>
      </c>
      <c r="AR35" s="105" t="s">
        <v>26</v>
      </c>
      <c r="AS35" s="105" t="s">
        <v>26</v>
      </c>
      <c r="AT35" s="105">
        <f>ROUND($O35*(1+inflation)^AT$8,0)</f>
        <v>57933</v>
      </c>
      <c r="AU35" s="105" t="s">
        <v>26</v>
      </c>
      <c r="AV35" s="105" t="s">
        <v>26</v>
      </c>
    </row>
    <row r="36" spans="1:48" s="88" customFormat="1" ht="30" customHeight="1" x14ac:dyDescent="0.25">
      <c r="A36" s="88">
        <v>1</v>
      </c>
      <c r="B36" s="88">
        <v>1</v>
      </c>
      <c r="C36" s="88">
        <v>1</v>
      </c>
      <c r="D36" s="88">
        <v>12</v>
      </c>
      <c r="E36" s="96">
        <v>4.74</v>
      </c>
      <c r="F36" s="97">
        <v>10000</v>
      </c>
      <c r="G36" s="98">
        <v>10000</v>
      </c>
      <c r="H36" s="99" t="s">
        <v>69</v>
      </c>
      <c r="I36" s="99" t="s">
        <v>106</v>
      </c>
      <c r="J36" s="100">
        <f>Current_Fiscal_Year+MATCH(TRUE,INDEX($R36:$AV36&lt;&gt;"",0),0)-1</f>
        <v>2035</v>
      </c>
      <c r="K36" s="100" t="s">
        <v>92</v>
      </c>
      <c r="L36" s="100" t="str">
        <f>$J36-Current_Fiscal_Year&amp;IF(COUNT($R36:$AV36)*$G36/$F36&lt;1," to 30+",IF($C36&gt;1," to "&amp;IF($J36-Current_Fiscal_Year+$B36-1&gt;30,"30+",$J36-Current_Fiscal_Year+$B36-1),))</f>
        <v>16</v>
      </c>
      <c r="M36" s="101">
        <v>4.5</v>
      </c>
      <c r="N36" s="102">
        <v>1</v>
      </c>
      <c r="O36" s="103">
        <f>$N36*$G36*$M36</f>
        <v>45000</v>
      </c>
      <c r="P36" s="103">
        <f>$N36*$F36*$M36</f>
        <v>45000</v>
      </c>
      <c r="Q36" s="104">
        <f>SUM(R36:AV36)</f>
        <v>140121</v>
      </c>
      <c r="R36" s="105" t="s">
        <v>26</v>
      </c>
      <c r="S36" s="105" t="s">
        <v>26</v>
      </c>
      <c r="T36" s="105" t="s">
        <v>26</v>
      </c>
      <c r="U36" s="105" t="s">
        <v>26</v>
      </c>
      <c r="V36" s="105" t="s">
        <v>26</v>
      </c>
      <c r="W36" s="105" t="s">
        <v>26</v>
      </c>
      <c r="X36" s="105" t="s">
        <v>26</v>
      </c>
      <c r="Y36" s="105" t="s">
        <v>26</v>
      </c>
      <c r="Z36" s="105" t="s">
        <v>26</v>
      </c>
      <c r="AA36" s="105" t="s">
        <v>26</v>
      </c>
      <c r="AB36" s="105" t="s">
        <v>26</v>
      </c>
      <c r="AC36" s="105" t="s">
        <v>26</v>
      </c>
      <c r="AD36" s="105" t="s">
        <v>26</v>
      </c>
      <c r="AE36" s="105" t="s">
        <v>26</v>
      </c>
      <c r="AF36" s="105" t="s">
        <v>26</v>
      </c>
      <c r="AG36" s="105" t="s">
        <v>26</v>
      </c>
      <c r="AH36" s="105">
        <f>ROUND($O36*(1+inflation)^AH$8,0)</f>
        <v>61775</v>
      </c>
      <c r="AI36" s="105" t="s">
        <v>26</v>
      </c>
      <c r="AJ36" s="105" t="s">
        <v>26</v>
      </c>
      <c r="AK36" s="105" t="s">
        <v>26</v>
      </c>
      <c r="AL36" s="105" t="s">
        <v>26</v>
      </c>
      <c r="AM36" s="105" t="s">
        <v>26</v>
      </c>
      <c r="AN36" s="105" t="s">
        <v>26</v>
      </c>
      <c r="AO36" s="105" t="s">
        <v>26</v>
      </c>
      <c r="AP36" s="105" t="s">
        <v>26</v>
      </c>
      <c r="AQ36" s="105" t="s">
        <v>26</v>
      </c>
      <c r="AR36" s="105" t="s">
        <v>26</v>
      </c>
      <c r="AS36" s="105" t="s">
        <v>26</v>
      </c>
      <c r="AT36" s="105">
        <f>ROUND($O36*(1+inflation)^AT$8,0)</f>
        <v>78346</v>
      </c>
      <c r="AU36" s="105" t="s">
        <v>26</v>
      </c>
      <c r="AV36" s="105" t="s">
        <v>26</v>
      </c>
    </row>
    <row r="37" spans="1:48" s="106" customFormat="1" ht="30" customHeight="1" x14ac:dyDescent="0.25">
      <c r="A37" s="106">
        <v>2</v>
      </c>
      <c r="B37" s="106">
        <v>3</v>
      </c>
      <c r="C37" s="106">
        <v>2</v>
      </c>
      <c r="D37" s="106">
        <v>35</v>
      </c>
      <c r="E37" s="71">
        <v>4.7450000000000001</v>
      </c>
      <c r="F37" s="72">
        <v>1250</v>
      </c>
      <c r="G37" s="73">
        <v>625</v>
      </c>
      <c r="H37" s="74" t="s">
        <v>69</v>
      </c>
      <c r="I37" s="74" t="s">
        <v>107</v>
      </c>
      <c r="J37" s="75">
        <f>Current_Fiscal_Year+MATCH(TRUE,INDEX($R37:$AV37&lt;&gt;"",0),0)-1</f>
        <v>2048</v>
      </c>
      <c r="K37" s="75" t="s">
        <v>108</v>
      </c>
      <c r="L37" s="75" t="str">
        <f>$J37-Current_Fiscal_Year&amp;IF(COUNT($R37:$AV37)*$G37/$F37&lt;1," to 30+",IF($C37&gt;1," to "&amp;IF($J37-Current_Fiscal_Year+$B37-1&gt;30,"30+",$J37-Current_Fiscal_Year+$B37-1),))</f>
        <v>29 to 30+</v>
      </c>
      <c r="M37" s="76">
        <v>40</v>
      </c>
      <c r="N37" s="77">
        <v>1</v>
      </c>
      <c r="O37" s="78">
        <f>$N37*$G37*$M37</f>
        <v>25000</v>
      </c>
      <c r="P37" s="78">
        <f>$N37*$F37*$M37</f>
        <v>50000</v>
      </c>
      <c r="Q37" s="79">
        <f>SUM(R37:AV37)</f>
        <v>44396</v>
      </c>
      <c r="R37" s="80" t="s">
        <v>26</v>
      </c>
      <c r="S37" s="80" t="s">
        <v>26</v>
      </c>
      <c r="T37" s="80" t="s">
        <v>26</v>
      </c>
      <c r="U37" s="80" t="s">
        <v>26</v>
      </c>
      <c r="V37" s="80" t="s">
        <v>26</v>
      </c>
      <c r="W37" s="80" t="s">
        <v>26</v>
      </c>
      <c r="X37" s="80" t="s">
        <v>26</v>
      </c>
      <c r="Y37" s="80" t="s">
        <v>26</v>
      </c>
      <c r="Z37" s="80" t="s">
        <v>26</v>
      </c>
      <c r="AA37" s="80" t="s">
        <v>26</v>
      </c>
      <c r="AB37" s="80" t="s">
        <v>26</v>
      </c>
      <c r="AC37" s="80" t="s">
        <v>26</v>
      </c>
      <c r="AD37" s="80" t="s">
        <v>26</v>
      </c>
      <c r="AE37" s="80" t="s">
        <v>26</v>
      </c>
      <c r="AF37" s="80" t="s">
        <v>26</v>
      </c>
      <c r="AG37" s="80" t="s">
        <v>26</v>
      </c>
      <c r="AH37" s="80" t="s">
        <v>26</v>
      </c>
      <c r="AI37" s="80" t="s">
        <v>26</v>
      </c>
      <c r="AJ37" s="80" t="s">
        <v>26</v>
      </c>
      <c r="AK37" s="80" t="s">
        <v>26</v>
      </c>
      <c r="AL37" s="80" t="s">
        <v>26</v>
      </c>
      <c r="AM37" s="80" t="s">
        <v>26</v>
      </c>
      <c r="AN37" s="80" t="s">
        <v>26</v>
      </c>
      <c r="AO37" s="80" t="s">
        <v>26</v>
      </c>
      <c r="AP37" s="80" t="s">
        <v>26</v>
      </c>
      <c r="AQ37" s="80" t="s">
        <v>26</v>
      </c>
      <c r="AR37" s="80" t="s">
        <v>26</v>
      </c>
      <c r="AS37" s="80" t="s">
        <v>26</v>
      </c>
      <c r="AT37" s="80" t="s">
        <v>26</v>
      </c>
      <c r="AU37" s="80">
        <f>ROUND($O37*(1+inflation)^AU$8,0)</f>
        <v>44396</v>
      </c>
      <c r="AV37" s="80" t="s">
        <v>26</v>
      </c>
    </row>
    <row r="38" spans="1:48" s="106" customFormat="1" ht="30" customHeight="1" x14ac:dyDescent="0.25">
      <c r="A38" s="106">
        <v>1</v>
      </c>
      <c r="B38" s="106">
        <v>1</v>
      </c>
      <c r="C38" s="106">
        <v>1</v>
      </c>
      <c r="D38" s="106">
        <v>18</v>
      </c>
      <c r="E38" s="71">
        <v>4.8</v>
      </c>
      <c r="F38" s="72">
        <v>1</v>
      </c>
      <c r="G38" s="73">
        <v>1</v>
      </c>
      <c r="H38" s="74" t="s">
        <v>72</v>
      </c>
      <c r="I38" s="74" t="s">
        <v>99</v>
      </c>
      <c r="J38" s="75">
        <f>Current_Fiscal_Year+MATCH(TRUE,INDEX($R38:$AV38&lt;&gt;"",0),0)-1</f>
        <v>2031</v>
      </c>
      <c r="K38" s="75" t="s">
        <v>63</v>
      </c>
      <c r="L38" s="75" t="str">
        <f>$J38-Current_Fiscal_Year&amp;IF(COUNT($R38:$AV38)*$G38/$F38&lt;1," to 30+",IF($C38&gt;1," to "&amp;IF($J38-Current_Fiscal_Year+$B38-1&gt;30,"30+",$J38-Current_Fiscal_Year+$B38-1),))</f>
        <v>12</v>
      </c>
      <c r="M38" s="76">
        <v>5200</v>
      </c>
      <c r="N38" s="77">
        <v>1</v>
      </c>
      <c r="O38" s="78">
        <f>$N38*$G38*$M38</f>
        <v>5200</v>
      </c>
      <c r="P38" s="78">
        <f>$N38*$F38*$M38</f>
        <v>5200</v>
      </c>
      <c r="Q38" s="79">
        <f>SUM(R38:AV38)</f>
        <v>16014</v>
      </c>
      <c r="R38" s="80" t="s">
        <v>26</v>
      </c>
      <c r="S38" s="80" t="s">
        <v>26</v>
      </c>
      <c r="T38" s="80" t="s">
        <v>26</v>
      </c>
      <c r="U38" s="80" t="s">
        <v>26</v>
      </c>
      <c r="V38" s="80" t="s">
        <v>26</v>
      </c>
      <c r="W38" s="80" t="s">
        <v>26</v>
      </c>
      <c r="X38" s="80" t="s">
        <v>26</v>
      </c>
      <c r="Y38" s="80" t="s">
        <v>26</v>
      </c>
      <c r="Z38" s="80" t="s">
        <v>26</v>
      </c>
      <c r="AA38" s="80" t="s">
        <v>26</v>
      </c>
      <c r="AB38" s="80" t="s">
        <v>26</v>
      </c>
      <c r="AC38" s="80" t="s">
        <v>26</v>
      </c>
      <c r="AD38" s="80">
        <f>ROUND($O38*(1+inflation)^AD$8,0)</f>
        <v>6595</v>
      </c>
      <c r="AE38" s="80" t="s">
        <v>26</v>
      </c>
      <c r="AF38" s="80" t="s">
        <v>26</v>
      </c>
      <c r="AG38" s="80" t="s">
        <v>26</v>
      </c>
      <c r="AH38" s="80" t="s">
        <v>26</v>
      </c>
      <c r="AI38" s="80" t="s">
        <v>26</v>
      </c>
      <c r="AJ38" s="80" t="s">
        <v>26</v>
      </c>
      <c r="AK38" s="80" t="s">
        <v>26</v>
      </c>
      <c r="AL38" s="80" t="s">
        <v>26</v>
      </c>
      <c r="AM38" s="80" t="s">
        <v>26</v>
      </c>
      <c r="AN38" s="80" t="s">
        <v>26</v>
      </c>
      <c r="AO38" s="80" t="s">
        <v>26</v>
      </c>
      <c r="AP38" s="80" t="s">
        <v>26</v>
      </c>
      <c r="AQ38" s="80" t="s">
        <v>26</v>
      </c>
      <c r="AR38" s="80" t="s">
        <v>26</v>
      </c>
      <c r="AS38" s="80" t="s">
        <v>26</v>
      </c>
      <c r="AT38" s="80" t="s">
        <v>26</v>
      </c>
      <c r="AU38" s="80" t="s">
        <v>26</v>
      </c>
      <c r="AV38" s="80">
        <f>ROUND($O38*(1+inflation)^AV$8,0)</f>
        <v>9419</v>
      </c>
    </row>
    <row r="39" spans="1:48" s="106" customFormat="1" ht="30" customHeight="1" x14ac:dyDescent="0.25">
      <c r="E39" s="81"/>
      <c r="F39" s="72"/>
      <c r="G39" s="73"/>
      <c r="H39" s="82"/>
      <c r="I39" s="82"/>
      <c r="J39" s="83"/>
      <c r="K39" s="83"/>
      <c r="L39" s="75"/>
      <c r="M39" s="84"/>
      <c r="N39" s="83"/>
      <c r="O39" s="84"/>
      <c r="P39" s="78"/>
      <c r="Q39" s="85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</row>
    <row r="40" spans="1:48" s="88" customFormat="1" ht="30" customHeight="1" x14ac:dyDescent="0.25">
      <c r="E40" s="108"/>
      <c r="F40" s="97"/>
      <c r="G40" s="98"/>
      <c r="H40" s="92"/>
      <c r="I40" s="109" t="s">
        <v>109</v>
      </c>
      <c r="J40" s="89"/>
      <c r="K40" s="89"/>
      <c r="L40" s="100"/>
      <c r="M40" s="94"/>
      <c r="N40" s="89"/>
      <c r="O40" s="94"/>
      <c r="P40" s="103"/>
      <c r="Q40" s="107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</row>
    <row r="41" spans="1:48" s="88" customFormat="1" ht="30" customHeight="1" x14ac:dyDescent="0.25">
      <c r="A41" s="88">
        <v>1</v>
      </c>
      <c r="B41" s="88">
        <v>1</v>
      </c>
      <c r="C41" s="88">
        <v>1</v>
      </c>
      <c r="D41" s="88">
        <v>25</v>
      </c>
      <c r="E41" s="96">
        <v>5.59</v>
      </c>
      <c r="F41" s="97">
        <v>2</v>
      </c>
      <c r="G41" s="98">
        <v>2</v>
      </c>
      <c r="H41" s="99" t="s">
        <v>66</v>
      </c>
      <c r="I41" s="99" t="s">
        <v>110</v>
      </c>
      <c r="J41" s="100">
        <f>Current_Fiscal_Year+MATCH(TRUE,INDEX($R41:$AV41&lt;&gt;"",0),0)-1</f>
        <v>2038</v>
      </c>
      <c r="K41" s="100" t="s">
        <v>87</v>
      </c>
      <c r="L41" s="100" t="str">
        <f>$J41-Current_Fiscal_Year&amp;IF(COUNT($R41:$AV41)*$G41/$F41&lt;1," to 30+",IF($C41&gt;1," to "&amp;IF($J41-Current_Fiscal_Year+$B41-1&gt;30,"30+",$J41-Current_Fiscal_Year+$B41-1),))</f>
        <v>19</v>
      </c>
      <c r="M41" s="101">
        <v>4000</v>
      </c>
      <c r="N41" s="102">
        <v>1</v>
      </c>
      <c r="O41" s="103">
        <f>$N41*$G41*$M41</f>
        <v>8000</v>
      </c>
      <c r="P41" s="103">
        <f>$N41*$F41*$M41</f>
        <v>8000</v>
      </c>
      <c r="Q41" s="104">
        <f>SUM(R41:AV41)</f>
        <v>11654</v>
      </c>
      <c r="R41" s="105" t="s">
        <v>26</v>
      </c>
      <c r="S41" s="105" t="s">
        <v>26</v>
      </c>
      <c r="T41" s="105" t="s">
        <v>26</v>
      </c>
      <c r="U41" s="105" t="s">
        <v>26</v>
      </c>
      <c r="V41" s="105" t="s">
        <v>26</v>
      </c>
      <c r="W41" s="105" t="s">
        <v>26</v>
      </c>
      <c r="X41" s="105" t="s">
        <v>26</v>
      </c>
      <c r="Y41" s="105" t="s">
        <v>26</v>
      </c>
      <c r="Z41" s="105" t="s">
        <v>26</v>
      </c>
      <c r="AA41" s="105" t="s">
        <v>26</v>
      </c>
      <c r="AB41" s="105" t="s">
        <v>26</v>
      </c>
      <c r="AC41" s="105" t="s">
        <v>26</v>
      </c>
      <c r="AD41" s="105" t="s">
        <v>26</v>
      </c>
      <c r="AE41" s="105" t="s">
        <v>26</v>
      </c>
      <c r="AF41" s="105" t="s">
        <v>26</v>
      </c>
      <c r="AG41" s="105" t="s">
        <v>26</v>
      </c>
      <c r="AH41" s="105" t="s">
        <v>26</v>
      </c>
      <c r="AI41" s="105" t="s">
        <v>26</v>
      </c>
      <c r="AJ41" s="105" t="s">
        <v>26</v>
      </c>
      <c r="AK41" s="105">
        <f>ROUND($O41*(1+inflation)^AK$8,0)</f>
        <v>11654</v>
      </c>
      <c r="AL41" s="105" t="s">
        <v>26</v>
      </c>
      <c r="AM41" s="105" t="s">
        <v>26</v>
      </c>
      <c r="AN41" s="105" t="s">
        <v>26</v>
      </c>
      <c r="AO41" s="105" t="s">
        <v>26</v>
      </c>
      <c r="AP41" s="105" t="s">
        <v>26</v>
      </c>
      <c r="AQ41" s="105" t="s">
        <v>26</v>
      </c>
      <c r="AR41" s="105" t="s">
        <v>26</v>
      </c>
      <c r="AS41" s="105" t="s">
        <v>26</v>
      </c>
      <c r="AT41" s="105" t="s">
        <v>26</v>
      </c>
      <c r="AU41" s="105" t="s">
        <v>26</v>
      </c>
      <c r="AV41" s="105" t="s">
        <v>26</v>
      </c>
    </row>
    <row r="42" spans="1:48" s="88" customFormat="1" ht="30" customHeight="1" x14ac:dyDescent="0.25">
      <c r="A42" s="88">
        <v>1</v>
      </c>
      <c r="B42" s="88">
        <v>1</v>
      </c>
      <c r="C42" s="88">
        <v>1</v>
      </c>
      <c r="D42" s="88">
        <v>30</v>
      </c>
      <c r="E42" s="96">
        <v>5.6</v>
      </c>
      <c r="F42" s="97">
        <v>10</v>
      </c>
      <c r="G42" s="98">
        <v>10</v>
      </c>
      <c r="H42" s="99" t="s">
        <v>64</v>
      </c>
      <c r="I42" s="99" t="s">
        <v>111</v>
      </c>
      <c r="J42" s="100">
        <f>Current_Fiscal_Year+MATCH(TRUE,INDEX($R42:$AV42&lt;&gt;"",0),0)-1</f>
        <v>2043</v>
      </c>
      <c r="K42" s="100" t="s">
        <v>68</v>
      </c>
      <c r="L42" s="100" t="str">
        <f>$J42-Current_Fiscal_Year&amp;IF(COUNT($R42:$AV42)*$G42/$F42&lt;1," to 30+",IF($C42&gt;1," to "&amp;IF($J42-Current_Fiscal_Year+$B42-1&gt;30,"30+",$J42-Current_Fiscal_Year+$B42-1),))</f>
        <v>24</v>
      </c>
      <c r="M42" s="101">
        <v>800</v>
      </c>
      <c r="N42" s="102">
        <v>1</v>
      </c>
      <c r="O42" s="103">
        <f>$N42*$G42*$M42</f>
        <v>8000</v>
      </c>
      <c r="P42" s="103">
        <f>$N42*$F42*$M42</f>
        <v>8000</v>
      </c>
      <c r="Q42" s="104">
        <f>SUM(R42:AV42)</f>
        <v>12867</v>
      </c>
      <c r="R42" s="105" t="s">
        <v>26</v>
      </c>
      <c r="S42" s="105" t="s">
        <v>26</v>
      </c>
      <c r="T42" s="105" t="s">
        <v>26</v>
      </c>
      <c r="U42" s="105" t="s">
        <v>26</v>
      </c>
      <c r="V42" s="105" t="s">
        <v>26</v>
      </c>
      <c r="W42" s="105" t="s">
        <v>26</v>
      </c>
      <c r="X42" s="105" t="s">
        <v>26</v>
      </c>
      <c r="Y42" s="105" t="s">
        <v>26</v>
      </c>
      <c r="Z42" s="105" t="s">
        <v>26</v>
      </c>
      <c r="AA42" s="105" t="s">
        <v>26</v>
      </c>
      <c r="AB42" s="105" t="s">
        <v>26</v>
      </c>
      <c r="AC42" s="105" t="s">
        <v>26</v>
      </c>
      <c r="AD42" s="105" t="s">
        <v>26</v>
      </c>
      <c r="AE42" s="105" t="s">
        <v>26</v>
      </c>
      <c r="AF42" s="105" t="s">
        <v>26</v>
      </c>
      <c r="AG42" s="105" t="s">
        <v>26</v>
      </c>
      <c r="AH42" s="105" t="s">
        <v>26</v>
      </c>
      <c r="AI42" s="105" t="s">
        <v>26</v>
      </c>
      <c r="AJ42" s="105" t="s">
        <v>26</v>
      </c>
      <c r="AK42" s="105" t="s">
        <v>26</v>
      </c>
      <c r="AL42" s="105" t="s">
        <v>26</v>
      </c>
      <c r="AM42" s="105" t="s">
        <v>26</v>
      </c>
      <c r="AN42" s="105" t="s">
        <v>26</v>
      </c>
      <c r="AO42" s="105" t="s">
        <v>26</v>
      </c>
      <c r="AP42" s="105">
        <f>ROUND($O42*(1+inflation)^AP$8,0)</f>
        <v>12867</v>
      </c>
      <c r="AQ42" s="105" t="s">
        <v>26</v>
      </c>
      <c r="AR42" s="105" t="s">
        <v>26</v>
      </c>
      <c r="AS42" s="105" t="s">
        <v>26</v>
      </c>
      <c r="AT42" s="105" t="s">
        <v>26</v>
      </c>
      <c r="AU42" s="105" t="s">
        <v>26</v>
      </c>
      <c r="AV42" s="105" t="s">
        <v>26</v>
      </c>
    </row>
    <row r="43" spans="1:48" s="106" customFormat="1" ht="30" customHeight="1" x14ac:dyDescent="0.25">
      <c r="E43" s="81"/>
      <c r="F43" s="72"/>
      <c r="G43" s="73"/>
      <c r="H43" s="82"/>
      <c r="I43" s="82"/>
      <c r="J43" s="83"/>
      <c r="K43" s="83"/>
      <c r="L43" s="75"/>
      <c r="M43" s="84"/>
      <c r="N43" s="83"/>
      <c r="O43" s="84"/>
      <c r="P43" s="78"/>
      <c r="Q43" s="85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</row>
    <row r="44" spans="1:48" s="106" customFormat="1" ht="30" customHeight="1" x14ac:dyDescent="0.25">
      <c r="E44" s="81"/>
      <c r="F44" s="72"/>
      <c r="G44" s="73"/>
      <c r="H44" s="82"/>
      <c r="I44" s="86" t="s">
        <v>112</v>
      </c>
      <c r="J44" s="83"/>
      <c r="K44" s="83"/>
      <c r="L44" s="75"/>
      <c r="M44" s="84"/>
      <c r="N44" s="83"/>
      <c r="O44" s="84"/>
      <c r="P44" s="78"/>
      <c r="Q44" s="85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</row>
    <row r="45" spans="1:48" s="106" customFormat="1" ht="30" customHeight="1" x14ac:dyDescent="0.25">
      <c r="A45" s="106">
        <v>1</v>
      </c>
      <c r="B45" s="106">
        <v>1</v>
      </c>
      <c r="C45" s="106">
        <v>1</v>
      </c>
      <c r="D45" s="106">
        <v>10</v>
      </c>
      <c r="E45" s="71">
        <v>6.2</v>
      </c>
      <c r="F45" s="72">
        <v>2760</v>
      </c>
      <c r="G45" s="73">
        <v>2760</v>
      </c>
      <c r="H45" s="74" t="s">
        <v>69</v>
      </c>
      <c r="I45" s="74" t="s">
        <v>113</v>
      </c>
      <c r="J45" s="75">
        <f>Current_Fiscal_Year+MATCH(TRUE,INDEX($R45:$AV45&lt;&gt;"",0),0)-1</f>
        <v>2028</v>
      </c>
      <c r="K45" s="75" t="s">
        <v>71</v>
      </c>
      <c r="L45" s="75" t="str">
        <f>$J45-Current_Fiscal_Year&amp;IF(COUNT($R45:$AV45)*$G45/$F45&lt;1," to 30+",IF($C45&gt;1," to "&amp;IF($J45-Current_Fiscal_Year+$B45-1&gt;30,"30+",$J45-Current_Fiscal_Year+$B45-1),))</f>
        <v>9</v>
      </c>
      <c r="M45" s="76">
        <v>1.5</v>
      </c>
      <c r="N45" s="77">
        <v>1</v>
      </c>
      <c r="O45" s="78">
        <f>$N45*$G45*$M45</f>
        <v>4140</v>
      </c>
      <c r="P45" s="78">
        <f>$N45*$F45*$M45</f>
        <v>4140</v>
      </c>
      <c r="Q45" s="79">
        <f>SUM(R45:AV45)</f>
        <v>18331</v>
      </c>
      <c r="R45" s="80" t="s">
        <v>26</v>
      </c>
      <c r="S45" s="80" t="s">
        <v>26</v>
      </c>
      <c r="T45" s="80" t="s">
        <v>26</v>
      </c>
      <c r="U45" s="80" t="s">
        <v>26</v>
      </c>
      <c r="V45" s="80" t="s">
        <v>26</v>
      </c>
      <c r="W45" s="80" t="s">
        <v>26</v>
      </c>
      <c r="X45" s="80" t="s">
        <v>26</v>
      </c>
      <c r="Y45" s="80" t="s">
        <v>26</v>
      </c>
      <c r="Z45" s="80" t="s">
        <v>26</v>
      </c>
      <c r="AA45" s="80">
        <f>ROUND($O45*(1+inflation)^AA$8,0)</f>
        <v>4948</v>
      </c>
      <c r="AB45" s="80" t="s">
        <v>26</v>
      </c>
      <c r="AC45" s="80" t="s">
        <v>26</v>
      </c>
      <c r="AD45" s="80" t="s">
        <v>26</v>
      </c>
      <c r="AE45" s="80" t="s">
        <v>26</v>
      </c>
      <c r="AF45" s="80" t="s">
        <v>26</v>
      </c>
      <c r="AG45" s="80" t="s">
        <v>26</v>
      </c>
      <c r="AH45" s="80" t="s">
        <v>26</v>
      </c>
      <c r="AI45" s="80" t="s">
        <v>26</v>
      </c>
      <c r="AJ45" s="80" t="s">
        <v>26</v>
      </c>
      <c r="AK45" s="80">
        <f>ROUND($O45*(1+inflation)^AK$8,0)</f>
        <v>6031</v>
      </c>
      <c r="AL45" s="80" t="s">
        <v>26</v>
      </c>
      <c r="AM45" s="80" t="s">
        <v>26</v>
      </c>
      <c r="AN45" s="80" t="s">
        <v>26</v>
      </c>
      <c r="AO45" s="80" t="s">
        <v>26</v>
      </c>
      <c r="AP45" s="80" t="s">
        <v>26</v>
      </c>
      <c r="AQ45" s="80" t="s">
        <v>26</v>
      </c>
      <c r="AR45" s="80" t="s">
        <v>26</v>
      </c>
      <c r="AS45" s="80" t="s">
        <v>26</v>
      </c>
      <c r="AT45" s="80" t="s">
        <v>26</v>
      </c>
      <c r="AU45" s="80">
        <f>ROUND($O45*(1+inflation)^AU$8,0)</f>
        <v>7352</v>
      </c>
      <c r="AV45" s="80" t="s">
        <v>26</v>
      </c>
    </row>
    <row r="46" spans="1:48" s="88" customFormat="1" ht="30" customHeight="1" x14ac:dyDescent="0.25">
      <c r="A46" s="88">
        <v>1</v>
      </c>
      <c r="B46" s="88">
        <v>1</v>
      </c>
      <c r="C46" s="88">
        <v>1</v>
      </c>
      <c r="D46" s="88">
        <v>10</v>
      </c>
      <c r="E46" s="96">
        <v>6.3</v>
      </c>
      <c r="F46" s="97">
        <v>920</v>
      </c>
      <c r="G46" s="98">
        <v>920</v>
      </c>
      <c r="H46" s="99" t="s">
        <v>69</v>
      </c>
      <c r="I46" s="99" t="s">
        <v>114</v>
      </c>
      <c r="J46" s="100">
        <f>Current_Fiscal_Year+MATCH(TRUE,INDEX($R46:$AV46&lt;&gt;"",0),0)-1</f>
        <v>2025</v>
      </c>
      <c r="K46" s="100" t="s">
        <v>74</v>
      </c>
      <c r="L46" s="100" t="str">
        <f>$J46-Current_Fiscal_Year&amp;IF(COUNT($R46:$AV46)*$G46/$F46&lt;1," to 30+",IF($C46&gt;1," to "&amp;IF($J46-Current_Fiscal_Year+$B46-1&gt;30,"30+",$J46-Current_Fiscal_Year+$B46-1),))</f>
        <v>6</v>
      </c>
      <c r="M46" s="101">
        <v>3.75</v>
      </c>
      <c r="N46" s="102">
        <v>1</v>
      </c>
      <c r="O46" s="103">
        <f>$N46*$G46*$M46</f>
        <v>3450</v>
      </c>
      <c r="P46" s="103">
        <f>$N46*$F46*$M46</f>
        <v>3450</v>
      </c>
      <c r="Q46" s="104">
        <f>SUM(R46:AV46)</f>
        <v>14394</v>
      </c>
      <c r="R46" s="105" t="s">
        <v>26</v>
      </c>
      <c r="S46" s="105" t="s">
        <v>26</v>
      </c>
      <c r="T46" s="105" t="s">
        <v>26</v>
      </c>
      <c r="U46" s="105" t="s">
        <v>26</v>
      </c>
      <c r="V46" s="105" t="s">
        <v>26</v>
      </c>
      <c r="W46" s="105" t="s">
        <v>26</v>
      </c>
      <c r="X46" s="105">
        <f>ROUND($O46*(1+inflation)^X$8,0)</f>
        <v>3885</v>
      </c>
      <c r="Y46" s="105" t="s">
        <v>26</v>
      </c>
      <c r="Z46" s="105" t="s">
        <v>26</v>
      </c>
      <c r="AA46" s="105" t="s">
        <v>26</v>
      </c>
      <c r="AB46" s="105" t="s">
        <v>26</v>
      </c>
      <c r="AC46" s="105" t="s">
        <v>26</v>
      </c>
      <c r="AD46" s="105" t="s">
        <v>26</v>
      </c>
      <c r="AE46" s="105" t="s">
        <v>26</v>
      </c>
      <c r="AF46" s="105" t="s">
        <v>26</v>
      </c>
      <c r="AG46" s="105" t="s">
        <v>26</v>
      </c>
      <c r="AH46" s="105">
        <f>ROUND($O46*(1+inflation)^AH$8,0)</f>
        <v>4736</v>
      </c>
      <c r="AI46" s="105" t="s">
        <v>26</v>
      </c>
      <c r="AJ46" s="105" t="s">
        <v>26</v>
      </c>
      <c r="AK46" s="105" t="s">
        <v>26</v>
      </c>
      <c r="AL46" s="105" t="s">
        <v>26</v>
      </c>
      <c r="AM46" s="105" t="s">
        <v>26</v>
      </c>
      <c r="AN46" s="105" t="s">
        <v>26</v>
      </c>
      <c r="AO46" s="105" t="s">
        <v>26</v>
      </c>
      <c r="AP46" s="105" t="s">
        <v>26</v>
      </c>
      <c r="AQ46" s="105" t="s">
        <v>26</v>
      </c>
      <c r="AR46" s="105">
        <f>ROUND($O46*(1+inflation)^AR$8,0)</f>
        <v>5773</v>
      </c>
      <c r="AS46" s="105" t="s">
        <v>26</v>
      </c>
      <c r="AT46" s="105" t="s">
        <v>26</v>
      </c>
      <c r="AU46" s="105" t="s">
        <v>26</v>
      </c>
      <c r="AV46" s="105" t="s">
        <v>26</v>
      </c>
    </row>
    <row r="47" spans="1:48" s="88" customFormat="1" ht="30" customHeight="1" x14ac:dyDescent="0.25">
      <c r="A47" s="88">
        <v>1</v>
      </c>
      <c r="B47" s="88">
        <v>1</v>
      </c>
      <c r="C47" s="88">
        <v>1</v>
      </c>
      <c r="D47" s="88">
        <v>25</v>
      </c>
      <c r="E47" s="96">
        <v>6.4</v>
      </c>
      <c r="F47" s="97">
        <v>280</v>
      </c>
      <c r="G47" s="98">
        <v>280</v>
      </c>
      <c r="H47" s="99" t="s">
        <v>61</v>
      </c>
      <c r="I47" s="99" t="s">
        <v>115</v>
      </c>
      <c r="J47" s="100">
        <f>Current_Fiscal_Year+MATCH(TRUE,INDEX($R47:$AV47&lt;&gt;"",0),0)-1</f>
        <v>2038</v>
      </c>
      <c r="K47" s="100" t="s">
        <v>87</v>
      </c>
      <c r="L47" s="100" t="str">
        <f>$J47-Current_Fiscal_Year&amp;IF(COUNT($R47:$AV47)*$G47/$F47&lt;1," to 30+",IF($C47&gt;1," to "&amp;IF($J47-Current_Fiscal_Year+$B47-1&gt;30,"30+",$J47-Current_Fiscal_Year+$B47-1),))</f>
        <v>19</v>
      </c>
      <c r="M47" s="101">
        <v>55</v>
      </c>
      <c r="N47" s="102">
        <v>1</v>
      </c>
      <c r="O47" s="103">
        <f>$N47*$G47*$M47</f>
        <v>15400</v>
      </c>
      <c r="P47" s="103">
        <f>$N47*$F47*$M47</f>
        <v>15400</v>
      </c>
      <c r="Q47" s="104">
        <f>SUM(R47:AV47)</f>
        <v>22435</v>
      </c>
      <c r="R47" s="105" t="s">
        <v>26</v>
      </c>
      <c r="S47" s="105" t="s">
        <v>26</v>
      </c>
      <c r="T47" s="105" t="s">
        <v>26</v>
      </c>
      <c r="U47" s="105" t="s">
        <v>26</v>
      </c>
      <c r="V47" s="105" t="s">
        <v>26</v>
      </c>
      <c r="W47" s="105" t="s">
        <v>26</v>
      </c>
      <c r="X47" s="105" t="s">
        <v>26</v>
      </c>
      <c r="Y47" s="105" t="s">
        <v>26</v>
      </c>
      <c r="Z47" s="105" t="s">
        <v>26</v>
      </c>
      <c r="AA47" s="105" t="s">
        <v>26</v>
      </c>
      <c r="AB47" s="105" t="s">
        <v>26</v>
      </c>
      <c r="AC47" s="105" t="s">
        <v>26</v>
      </c>
      <c r="AD47" s="105" t="s">
        <v>26</v>
      </c>
      <c r="AE47" s="105" t="s">
        <v>26</v>
      </c>
      <c r="AF47" s="105" t="s">
        <v>26</v>
      </c>
      <c r="AG47" s="105" t="s">
        <v>26</v>
      </c>
      <c r="AH47" s="105" t="s">
        <v>26</v>
      </c>
      <c r="AI47" s="105" t="s">
        <v>26</v>
      </c>
      <c r="AJ47" s="105" t="s">
        <v>26</v>
      </c>
      <c r="AK47" s="105">
        <f>ROUND($O47*(1+inflation)^AK$8,0)</f>
        <v>22435</v>
      </c>
      <c r="AL47" s="105" t="s">
        <v>26</v>
      </c>
      <c r="AM47" s="105" t="s">
        <v>26</v>
      </c>
      <c r="AN47" s="105" t="s">
        <v>26</v>
      </c>
      <c r="AO47" s="105" t="s">
        <v>26</v>
      </c>
      <c r="AP47" s="105" t="s">
        <v>26</v>
      </c>
      <c r="AQ47" s="105" t="s">
        <v>26</v>
      </c>
      <c r="AR47" s="105" t="s">
        <v>26</v>
      </c>
      <c r="AS47" s="105" t="s">
        <v>26</v>
      </c>
      <c r="AT47" s="105" t="s">
        <v>26</v>
      </c>
      <c r="AU47" s="105" t="s">
        <v>26</v>
      </c>
      <c r="AV47" s="105" t="s">
        <v>26</v>
      </c>
    </row>
    <row r="48" spans="1:48" s="88" customFormat="1" ht="30" customHeight="1" x14ac:dyDescent="0.25">
      <c r="A48" s="88">
        <v>7</v>
      </c>
      <c r="B48" s="88">
        <v>8</v>
      </c>
      <c r="C48" s="88">
        <v>2</v>
      </c>
      <c r="D48" s="88">
        <v>14</v>
      </c>
      <c r="E48" s="96">
        <v>6.6</v>
      </c>
      <c r="F48" s="97">
        <v>2</v>
      </c>
      <c r="G48" s="98">
        <v>1</v>
      </c>
      <c r="H48" s="99" t="s">
        <v>72</v>
      </c>
      <c r="I48" s="99" t="s">
        <v>116</v>
      </c>
      <c r="J48" s="100">
        <f>Current_Fiscal_Year+MATCH(TRUE,INDEX($R48:$AV48&lt;&gt;"",0),0)-1</f>
        <v>2027</v>
      </c>
      <c r="K48" s="100" t="s">
        <v>102</v>
      </c>
      <c r="L48" s="100" t="str">
        <f>$J48-Current_Fiscal_Year&amp;IF(COUNT($R48:$AV48)*$G48/$F48&lt;1," to 30+",IF($C48&gt;1," to "&amp;IF($J48-Current_Fiscal_Year+$B48-1&gt;30,"30+",$J48-Current_Fiscal_Year+$B48-1),))</f>
        <v>8 to 15</v>
      </c>
      <c r="M48" s="101">
        <v>2000</v>
      </c>
      <c r="N48" s="102">
        <v>1</v>
      </c>
      <c r="O48" s="103">
        <f>$N48*$G48*$M48</f>
        <v>2000</v>
      </c>
      <c r="P48" s="103">
        <f>$N48*$F48*$M48</f>
        <v>4000</v>
      </c>
      <c r="Q48" s="104">
        <f>SUM(R48:AV48)</f>
        <v>11679</v>
      </c>
      <c r="R48" s="105" t="s">
        <v>26</v>
      </c>
      <c r="S48" s="105" t="s">
        <v>26</v>
      </c>
      <c r="T48" s="105" t="s">
        <v>26</v>
      </c>
      <c r="U48" s="105" t="s">
        <v>26</v>
      </c>
      <c r="V48" s="105" t="s">
        <v>26</v>
      </c>
      <c r="W48" s="105" t="s">
        <v>26</v>
      </c>
      <c r="X48" s="105" t="s">
        <v>26</v>
      </c>
      <c r="Y48" s="105" t="s">
        <v>26</v>
      </c>
      <c r="Z48" s="105">
        <f>ROUND($O48*(1+inflation)^Z$8,0)</f>
        <v>2343</v>
      </c>
      <c r="AA48" s="105" t="s">
        <v>26</v>
      </c>
      <c r="AB48" s="105" t="s">
        <v>26</v>
      </c>
      <c r="AC48" s="105" t="s">
        <v>26</v>
      </c>
      <c r="AD48" s="105" t="s">
        <v>26</v>
      </c>
      <c r="AE48" s="105" t="s">
        <v>26</v>
      </c>
      <c r="AF48" s="105" t="s">
        <v>26</v>
      </c>
      <c r="AG48" s="105">
        <f>ROUND($O48*(1+inflation)^AG$8,0)</f>
        <v>2692</v>
      </c>
      <c r="AH48" s="105" t="s">
        <v>26</v>
      </c>
      <c r="AI48" s="105" t="s">
        <v>26</v>
      </c>
      <c r="AJ48" s="105" t="s">
        <v>26</v>
      </c>
      <c r="AK48" s="105" t="s">
        <v>26</v>
      </c>
      <c r="AL48" s="105" t="s">
        <v>26</v>
      </c>
      <c r="AM48" s="105" t="s">
        <v>26</v>
      </c>
      <c r="AN48" s="105">
        <f>ROUND($O48*(1+inflation)^AN$8,0)</f>
        <v>3092</v>
      </c>
      <c r="AO48" s="105" t="s">
        <v>26</v>
      </c>
      <c r="AP48" s="105" t="s">
        <v>26</v>
      </c>
      <c r="AQ48" s="105" t="s">
        <v>26</v>
      </c>
      <c r="AR48" s="105" t="s">
        <v>26</v>
      </c>
      <c r="AS48" s="105" t="s">
        <v>26</v>
      </c>
      <c r="AT48" s="105" t="s">
        <v>26</v>
      </c>
      <c r="AU48" s="105">
        <f>ROUND($O48*(1+inflation)^AU$8,0)</f>
        <v>3552</v>
      </c>
      <c r="AV48" s="105" t="s">
        <v>26</v>
      </c>
    </row>
    <row r="49" spans="1:48" s="106" customFormat="1" ht="30" customHeight="1" x14ac:dyDescent="0.25">
      <c r="A49" s="106">
        <v>1</v>
      </c>
      <c r="B49" s="106">
        <v>1</v>
      </c>
      <c r="C49" s="106">
        <v>1</v>
      </c>
      <c r="D49" s="106">
        <v>25</v>
      </c>
      <c r="E49" s="71">
        <v>6.63</v>
      </c>
      <c r="F49" s="72">
        <v>1</v>
      </c>
      <c r="G49" s="73">
        <v>1</v>
      </c>
      <c r="H49" s="74" t="s">
        <v>66</v>
      </c>
      <c r="I49" s="74" t="s">
        <v>117</v>
      </c>
      <c r="J49" s="75">
        <f>Current_Fiscal_Year+MATCH(TRUE,INDEX($R49:$AV49&lt;&gt;"",0),0)-1</f>
        <v>2040</v>
      </c>
      <c r="K49" s="75" t="s">
        <v>87</v>
      </c>
      <c r="L49" s="75" t="str">
        <f>$J49-Current_Fiscal_Year&amp;IF(COUNT($R49:$AV49)*$G49/$F49&lt;1," to 30+",IF($C49&gt;1," to "&amp;IF($J49-Current_Fiscal_Year+$B49-1&gt;30,"30+",$J49-Current_Fiscal_Year+$B49-1),))</f>
        <v>21</v>
      </c>
      <c r="M49" s="76">
        <v>7500</v>
      </c>
      <c r="N49" s="77">
        <v>1</v>
      </c>
      <c r="O49" s="78">
        <f>$N49*$G49*$M49</f>
        <v>7500</v>
      </c>
      <c r="P49" s="78">
        <f>$N49*$F49*$M49</f>
        <v>7500</v>
      </c>
      <c r="Q49" s="79">
        <f>SUM(R49:AV49)</f>
        <v>11367</v>
      </c>
      <c r="R49" s="80" t="s">
        <v>26</v>
      </c>
      <c r="S49" s="80" t="s">
        <v>26</v>
      </c>
      <c r="T49" s="80" t="s">
        <v>26</v>
      </c>
      <c r="U49" s="80" t="s">
        <v>26</v>
      </c>
      <c r="V49" s="80" t="s">
        <v>26</v>
      </c>
      <c r="W49" s="80" t="s">
        <v>26</v>
      </c>
      <c r="X49" s="80" t="s">
        <v>26</v>
      </c>
      <c r="Y49" s="80" t="s">
        <v>26</v>
      </c>
      <c r="Z49" s="80" t="s">
        <v>26</v>
      </c>
      <c r="AA49" s="80" t="s">
        <v>26</v>
      </c>
      <c r="AB49" s="80" t="s">
        <v>26</v>
      </c>
      <c r="AC49" s="80" t="s">
        <v>26</v>
      </c>
      <c r="AD49" s="80" t="s">
        <v>26</v>
      </c>
      <c r="AE49" s="80" t="s">
        <v>26</v>
      </c>
      <c r="AF49" s="80" t="s">
        <v>26</v>
      </c>
      <c r="AG49" s="80" t="s">
        <v>26</v>
      </c>
      <c r="AH49" s="80" t="s">
        <v>26</v>
      </c>
      <c r="AI49" s="80" t="s">
        <v>26</v>
      </c>
      <c r="AJ49" s="80" t="s">
        <v>26</v>
      </c>
      <c r="AK49" s="80" t="s">
        <v>26</v>
      </c>
      <c r="AL49" s="80" t="s">
        <v>26</v>
      </c>
      <c r="AM49" s="80">
        <f>ROUND($O49*(1+inflation)^AM$8,0)</f>
        <v>11367</v>
      </c>
      <c r="AN49" s="80" t="s">
        <v>26</v>
      </c>
      <c r="AO49" s="80" t="s">
        <v>26</v>
      </c>
      <c r="AP49" s="80" t="s">
        <v>26</v>
      </c>
      <c r="AQ49" s="80" t="s">
        <v>26</v>
      </c>
      <c r="AR49" s="80" t="s">
        <v>26</v>
      </c>
      <c r="AS49" s="80" t="s">
        <v>26</v>
      </c>
      <c r="AT49" s="80" t="s">
        <v>26</v>
      </c>
      <c r="AU49" s="80" t="s">
        <v>26</v>
      </c>
      <c r="AV49" s="80" t="s">
        <v>26</v>
      </c>
    </row>
    <row r="50" spans="1:48" s="106" customFormat="1" ht="30" customHeight="1" x14ac:dyDescent="0.25">
      <c r="A50" s="106">
        <v>1</v>
      </c>
      <c r="B50" s="106">
        <v>1</v>
      </c>
      <c r="C50" s="106">
        <v>1</v>
      </c>
      <c r="D50" s="106">
        <v>10</v>
      </c>
      <c r="E50" s="71">
        <v>6.8010000000000002</v>
      </c>
      <c r="F50" s="72">
        <v>800</v>
      </c>
      <c r="G50" s="73">
        <v>800</v>
      </c>
      <c r="H50" s="74" t="s">
        <v>69</v>
      </c>
      <c r="I50" s="74" t="s">
        <v>118</v>
      </c>
      <c r="J50" s="75">
        <f>Current_Fiscal_Year+MATCH(TRUE,INDEX($R50:$AV50&lt;&gt;"",0),0)-1</f>
        <v>2023</v>
      </c>
      <c r="K50" s="75" t="s">
        <v>71</v>
      </c>
      <c r="L50" s="75" t="str">
        <f>$J50-Current_Fiscal_Year&amp;IF(COUNT($R50:$AV50)*$G50/$F50&lt;1," to 30+",IF($C50&gt;1," to "&amp;IF($J50-Current_Fiscal_Year+$B50-1&gt;30,"30+",$J50-Current_Fiscal_Year+$B50-1),))</f>
        <v>4</v>
      </c>
      <c r="M50" s="76">
        <v>15</v>
      </c>
      <c r="N50" s="77">
        <v>1</v>
      </c>
      <c r="O50" s="78">
        <f>$N50*$G50*$M50</f>
        <v>12000</v>
      </c>
      <c r="P50" s="78">
        <f>$N50*$F50*$M50</f>
        <v>12000</v>
      </c>
      <c r="Q50" s="79">
        <f>SUM(R50:AV50)</f>
        <v>48124</v>
      </c>
      <c r="R50" s="80" t="s">
        <v>26</v>
      </c>
      <c r="S50" s="80" t="s">
        <v>26</v>
      </c>
      <c r="T50" s="80" t="s">
        <v>26</v>
      </c>
      <c r="U50" s="80" t="s">
        <v>26</v>
      </c>
      <c r="V50" s="80">
        <f>ROUND($O50*(1+inflation)^V$8,0)</f>
        <v>12989</v>
      </c>
      <c r="W50" s="80" t="s">
        <v>26</v>
      </c>
      <c r="X50" s="80" t="s">
        <v>26</v>
      </c>
      <c r="Y50" s="80" t="s">
        <v>26</v>
      </c>
      <c r="Z50" s="80" t="s">
        <v>26</v>
      </c>
      <c r="AA50" s="80" t="s">
        <v>26</v>
      </c>
      <c r="AB50" s="80" t="s">
        <v>26</v>
      </c>
      <c r="AC50" s="80" t="s">
        <v>26</v>
      </c>
      <c r="AD50" s="80" t="s">
        <v>26</v>
      </c>
      <c r="AE50" s="80" t="s">
        <v>26</v>
      </c>
      <c r="AF50" s="80">
        <f>ROUND($O50*(1+inflation)^AF$8,0)</f>
        <v>15834</v>
      </c>
      <c r="AG50" s="80" t="s">
        <v>26</v>
      </c>
      <c r="AH50" s="80" t="s">
        <v>26</v>
      </c>
      <c r="AI50" s="80" t="s">
        <v>26</v>
      </c>
      <c r="AJ50" s="80" t="s">
        <v>26</v>
      </c>
      <c r="AK50" s="80" t="s">
        <v>26</v>
      </c>
      <c r="AL50" s="80" t="s">
        <v>26</v>
      </c>
      <c r="AM50" s="80" t="s">
        <v>26</v>
      </c>
      <c r="AN50" s="80" t="s">
        <v>26</v>
      </c>
      <c r="AO50" s="80" t="s">
        <v>26</v>
      </c>
      <c r="AP50" s="80">
        <f>ROUND($O50*(1+inflation)^AP$8,0)</f>
        <v>19301</v>
      </c>
      <c r="AQ50" s="80" t="s">
        <v>26</v>
      </c>
      <c r="AR50" s="80" t="s">
        <v>26</v>
      </c>
      <c r="AS50" s="80" t="s">
        <v>26</v>
      </c>
      <c r="AT50" s="80" t="s">
        <v>26</v>
      </c>
      <c r="AU50" s="80" t="s">
        <v>26</v>
      </c>
      <c r="AV50" s="80" t="s">
        <v>26</v>
      </c>
    </row>
    <row r="51" spans="1:48" s="88" customFormat="1" ht="8.1" customHeight="1" x14ac:dyDescent="0.25">
      <c r="E51" s="110" t="s">
        <v>119</v>
      </c>
      <c r="F51" s="111"/>
      <c r="G51" s="111"/>
      <c r="H51" s="111"/>
      <c r="I51" s="112" t="s">
        <v>59</v>
      </c>
      <c r="J51" s="113" t="s">
        <v>59</v>
      </c>
      <c r="K51" s="114"/>
      <c r="L51" s="113" t="s">
        <v>59</v>
      </c>
      <c r="M51" s="113" t="s">
        <v>59</v>
      </c>
      <c r="N51" s="113" t="s">
        <v>59</v>
      </c>
      <c r="O51" s="113" t="s">
        <v>59</v>
      </c>
      <c r="P51" s="114"/>
      <c r="Q51" s="113" t="s">
        <v>59</v>
      </c>
      <c r="R51" s="113" t="s">
        <v>59</v>
      </c>
      <c r="S51" s="113" t="s">
        <v>59</v>
      </c>
      <c r="T51" s="113" t="s">
        <v>59</v>
      </c>
      <c r="U51" s="113" t="s">
        <v>59</v>
      </c>
      <c r="V51" s="113" t="s">
        <v>59</v>
      </c>
      <c r="W51" s="113" t="s">
        <v>59</v>
      </c>
      <c r="X51" s="113" t="s">
        <v>59</v>
      </c>
      <c r="Y51" s="113" t="s">
        <v>59</v>
      </c>
      <c r="Z51" s="113" t="s">
        <v>59</v>
      </c>
      <c r="AA51" s="113" t="s">
        <v>59</v>
      </c>
      <c r="AB51" s="113" t="s">
        <v>59</v>
      </c>
      <c r="AC51" s="113" t="s">
        <v>59</v>
      </c>
      <c r="AD51" s="113" t="s">
        <v>59</v>
      </c>
      <c r="AE51" s="113" t="s">
        <v>59</v>
      </c>
      <c r="AF51" s="113" t="s">
        <v>59</v>
      </c>
      <c r="AG51" s="113" t="s">
        <v>59</v>
      </c>
      <c r="AH51" s="113" t="s">
        <v>59</v>
      </c>
      <c r="AI51" s="113" t="s">
        <v>59</v>
      </c>
      <c r="AJ51" s="113" t="s">
        <v>59</v>
      </c>
      <c r="AK51" s="113" t="s">
        <v>59</v>
      </c>
      <c r="AL51" s="113" t="s">
        <v>59</v>
      </c>
      <c r="AM51" s="113" t="s">
        <v>59</v>
      </c>
      <c r="AN51" s="113" t="s">
        <v>59</v>
      </c>
      <c r="AO51" s="113" t="s">
        <v>59</v>
      </c>
      <c r="AP51" s="113" t="s">
        <v>59</v>
      </c>
      <c r="AQ51" s="113" t="s">
        <v>59</v>
      </c>
      <c r="AR51" s="113" t="s">
        <v>59</v>
      </c>
      <c r="AS51" s="113" t="s">
        <v>59</v>
      </c>
      <c r="AT51" s="113" t="s">
        <v>59</v>
      </c>
      <c r="AU51" s="113" t="s">
        <v>59</v>
      </c>
      <c r="AV51" s="113" t="s">
        <v>59</v>
      </c>
    </row>
    <row r="52" spans="1:48" s="88" customFormat="1" ht="30" customHeight="1" x14ac:dyDescent="0.25">
      <c r="E52" s="89"/>
      <c r="F52" s="115"/>
      <c r="G52" s="115"/>
      <c r="H52" s="115"/>
      <c r="I52" s="116" t="s">
        <v>120</v>
      </c>
      <c r="J52" s="117" t="s">
        <v>37</v>
      </c>
      <c r="K52" s="115"/>
      <c r="L52" s="115"/>
      <c r="M52" s="115"/>
      <c r="N52" s="115"/>
      <c r="O52" s="118" t="s">
        <v>37</v>
      </c>
      <c r="P52" s="115"/>
      <c r="Q52" s="119">
        <f>SUM(Q$10:Q$51)</f>
        <v>2902423</v>
      </c>
      <c r="R52" s="120">
        <f>SUM(R$10:R$51)</f>
        <v>0</v>
      </c>
      <c r="S52" s="120">
        <f>SUM(S$10:S$51)</f>
        <v>6120</v>
      </c>
      <c r="T52" s="120">
        <f>SUM(T$10:T$51)</f>
        <v>11236</v>
      </c>
      <c r="U52" s="120">
        <f>SUM(U$10:U$51)</f>
        <v>0</v>
      </c>
      <c r="V52" s="120">
        <f>SUM(V$10:V$51)</f>
        <v>39498</v>
      </c>
      <c r="W52" s="120">
        <f>SUM(W$10:W$51)</f>
        <v>0</v>
      </c>
      <c r="X52" s="120">
        <f>SUM(X$10:X$51)</f>
        <v>74833</v>
      </c>
      <c r="Y52" s="120">
        <f>SUM(Y$10:Y$51)</f>
        <v>0</v>
      </c>
      <c r="Z52" s="120">
        <f>SUM(Z$10:Z$51)</f>
        <v>83422</v>
      </c>
      <c r="AA52" s="120">
        <f>SUM(AA$10:AA$51)</f>
        <v>22635</v>
      </c>
      <c r="AB52" s="120">
        <f>SUM(AB$10:AB$51)</f>
        <v>0</v>
      </c>
      <c r="AC52" s="120">
        <f>SUM(AC$10:AC$51)</f>
        <v>0</v>
      </c>
      <c r="AD52" s="120">
        <f>SUM(AD$10:AD$51)</f>
        <v>14458</v>
      </c>
      <c r="AE52" s="120">
        <f>SUM(AE$10:AE$51)</f>
        <v>0</v>
      </c>
      <c r="AF52" s="120">
        <f>SUM(AF$10:AF$51)</f>
        <v>81366</v>
      </c>
      <c r="AG52" s="120">
        <f>SUM(AG$10:AG$51)</f>
        <v>50363</v>
      </c>
      <c r="AH52" s="120">
        <f>SUM(AH$10:AH$51)</f>
        <v>509419</v>
      </c>
      <c r="AI52" s="120">
        <f>SUM(AI$10:AI$51)</f>
        <v>0</v>
      </c>
      <c r="AJ52" s="120">
        <f>SUM(AJ$10:AJ$51)</f>
        <v>421427</v>
      </c>
      <c r="AK52" s="120">
        <f>SUM(AK$10:AK$51)</f>
        <v>458255</v>
      </c>
      <c r="AL52" s="120">
        <f>SUM(AL$10:AL$51)</f>
        <v>354050</v>
      </c>
      <c r="AM52" s="120">
        <f>SUM(AM$10:AM$51)</f>
        <v>69720</v>
      </c>
      <c r="AN52" s="120">
        <f>SUM(AN$10:AN$51)</f>
        <v>3092</v>
      </c>
      <c r="AO52" s="120">
        <f>SUM(AO$10:AO$51)</f>
        <v>29646</v>
      </c>
      <c r="AP52" s="120">
        <f>SUM(AP$10:AP$51)</f>
        <v>104330</v>
      </c>
      <c r="AQ52" s="120">
        <f>SUM(AQ$10:AQ$51)</f>
        <v>58110</v>
      </c>
      <c r="AR52" s="120">
        <f>SUM(AR$10:AR$51)</f>
        <v>111198</v>
      </c>
      <c r="AS52" s="120">
        <f>SUM(AS$10:AS$51)</f>
        <v>21507</v>
      </c>
      <c r="AT52" s="120">
        <f>SUM(AT$10:AT$51)</f>
        <v>256758</v>
      </c>
      <c r="AU52" s="120">
        <f>SUM(AU$10:AU$51)</f>
        <v>91998</v>
      </c>
      <c r="AV52" s="120">
        <f>SUM(AV$10:AV$51)</f>
        <v>28982</v>
      </c>
    </row>
    <row r="53" spans="1:48" x14ac:dyDescent="0.25"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</row>
  </sheetData>
  <pageMargins left="0.7" right="0.7" top="0.75" bottom="0.75" header="0.3" footer="0.3"/>
  <pageSetup scale="43" fitToWidth="3" fitToHeight="0" pageOrder="overThenDown" orientation="portrait" horizontalDpi="1200" verticalDpi="1200" r:id="rId1"/>
  <headerFooter>
    <oddHeader>&amp;RPage &amp;P of &amp;N</oddHeader>
    <oddFooter>&amp;R&amp;A - Page 3.3 &amp; 3.4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zoomScale="70" zoomScaleNormal="70" workbookViewId="0">
      <selection activeCell="E52" sqref="E52"/>
    </sheetView>
  </sheetViews>
  <sheetFormatPr defaultRowHeight="18" x14ac:dyDescent="0.25"/>
  <cols>
    <col min="1" max="1" width="5.6640625" customWidth="1"/>
    <col min="2" max="2" width="6.33203125" customWidth="1"/>
    <col min="3" max="3" width="34.77734375" customWidth="1"/>
    <col min="4" max="20" width="10.77734375" customWidth="1"/>
  </cols>
  <sheetData>
    <row r="1" spans="1:20" ht="30" x14ac:dyDescent="0.4">
      <c r="A1" s="121"/>
      <c r="B1" s="121"/>
      <c r="C1" s="122" t="s">
        <v>126</v>
      </c>
      <c r="D1" s="123"/>
      <c r="E1" s="123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ht="30" x14ac:dyDescent="0.4">
      <c r="A2" s="121"/>
      <c r="B2" s="121"/>
      <c r="C2" s="6"/>
      <c r="D2" s="125"/>
      <c r="E2" s="126" t="s">
        <v>26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ht="20.25" x14ac:dyDescent="0.3">
      <c r="A3" s="127"/>
      <c r="B3" s="127"/>
      <c r="C3" s="128" t="s">
        <v>127</v>
      </c>
      <c r="D3" s="129"/>
      <c r="E3" s="130" t="s">
        <v>26</v>
      </c>
      <c r="F3" s="27"/>
      <c r="G3" s="27"/>
      <c r="H3" s="27"/>
      <c r="I3" s="27"/>
      <c r="J3" s="27"/>
      <c r="K3" s="27">
        <f>J3*(1+Inflation)</f>
        <v>0</v>
      </c>
      <c r="L3" s="5"/>
      <c r="M3" s="27"/>
      <c r="N3" s="27"/>
      <c r="O3" s="40"/>
      <c r="P3" s="40"/>
      <c r="Q3" s="40"/>
      <c r="R3" s="40"/>
      <c r="S3" s="40"/>
      <c r="T3" s="40"/>
    </row>
    <row r="4" spans="1:20" ht="20.25" x14ac:dyDescent="0.25">
      <c r="A4" s="131"/>
      <c r="B4" s="131"/>
      <c r="C4" s="132" t="s">
        <v>30</v>
      </c>
      <c r="D4" s="133"/>
      <c r="E4" s="127"/>
      <c r="F4" s="5"/>
      <c r="G4" s="134"/>
      <c r="H4" s="134"/>
      <c r="I4" s="134"/>
      <c r="J4" s="134"/>
      <c r="K4" s="134" t="s">
        <v>157</v>
      </c>
      <c r="L4" s="5"/>
      <c r="M4" s="27"/>
      <c r="N4" s="27"/>
      <c r="O4" s="27"/>
      <c r="P4" s="27"/>
      <c r="Q4" s="27"/>
      <c r="R4" s="27"/>
      <c r="S4" s="27"/>
      <c r="T4" s="27"/>
    </row>
    <row r="5" spans="1:20" ht="20.25" x14ac:dyDescent="0.25">
      <c r="A5" s="131" t="s">
        <v>46</v>
      </c>
      <c r="B5" s="131"/>
      <c r="C5" s="132" t="s">
        <v>33</v>
      </c>
      <c r="D5" s="127"/>
      <c r="E5" s="127"/>
      <c r="F5" s="135" t="s">
        <v>128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</row>
    <row r="6" spans="1:20" ht="21" thickBot="1" x14ac:dyDescent="0.35">
      <c r="A6" s="131"/>
      <c r="B6" s="131"/>
      <c r="C6" s="136" t="s">
        <v>36</v>
      </c>
      <c r="D6" s="133"/>
      <c r="E6" s="137">
        <v>2019</v>
      </c>
      <c r="F6" s="138">
        <v>2020</v>
      </c>
      <c r="G6" s="138">
        <v>2021</v>
      </c>
      <c r="H6" s="138">
        <v>2022</v>
      </c>
      <c r="I6" s="138">
        <v>2023</v>
      </c>
      <c r="J6" s="138">
        <v>2024</v>
      </c>
      <c r="K6" s="138">
        <v>2025</v>
      </c>
      <c r="L6" s="138">
        <v>2026</v>
      </c>
      <c r="M6" s="138">
        <v>2027</v>
      </c>
      <c r="N6" s="138">
        <v>2028</v>
      </c>
      <c r="O6" s="138">
        <v>2029</v>
      </c>
      <c r="P6" s="138">
        <v>2030</v>
      </c>
      <c r="Q6" s="138">
        <v>2031</v>
      </c>
      <c r="R6" s="138">
        <v>2032</v>
      </c>
      <c r="S6" s="138">
        <v>2033</v>
      </c>
      <c r="T6" s="138">
        <v>2034</v>
      </c>
    </row>
    <row r="7" spans="1:20" x14ac:dyDescent="0.25">
      <c r="A7" s="139"/>
      <c r="B7" s="140" t="s">
        <v>129</v>
      </c>
      <c r="C7" s="141"/>
      <c r="D7" s="142"/>
      <c r="E7" s="143">
        <v>36216.46</v>
      </c>
      <c r="F7" s="144">
        <f>E15</f>
        <v>43122.46</v>
      </c>
      <c r="G7" s="144">
        <f>F15</f>
        <v>45378.46</v>
      </c>
      <c r="H7" s="144">
        <f>G15</f>
        <v>61702.459999999992</v>
      </c>
      <c r="I7" s="144">
        <f>H15</f>
        <v>108891.45999999999</v>
      </c>
      <c r="J7" s="144">
        <f>I15</f>
        <v>136321.46</v>
      </c>
      <c r="K7" s="144">
        <f>J15</f>
        <v>223382.46</v>
      </c>
      <c r="L7" s="144">
        <f>K15</f>
        <v>255793.45999999996</v>
      </c>
      <c r="M7" s="144">
        <f>L15</f>
        <v>366555.45999999996</v>
      </c>
      <c r="N7" s="144">
        <f>M15</f>
        <v>397397.45999999996</v>
      </c>
      <c r="O7" s="144">
        <f>N15</f>
        <v>492372.45999999996</v>
      </c>
      <c r="P7" s="144">
        <f>O15</f>
        <v>614329.46</v>
      </c>
      <c r="Q7" s="144">
        <f>P15</f>
        <v>740948.46</v>
      </c>
      <c r="R7" s="144">
        <f>Q15</f>
        <v>857819.46</v>
      </c>
      <c r="S7" s="144">
        <f>R15</f>
        <v>993953.46</v>
      </c>
      <c r="T7" s="144">
        <f>S15</f>
        <v>1053054.46</v>
      </c>
    </row>
    <row r="8" spans="1:20" x14ac:dyDescent="0.25">
      <c r="A8" s="145" t="s">
        <v>130</v>
      </c>
      <c r="B8" s="146" t="s">
        <v>131</v>
      </c>
      <c r="C8" s="147"/>
      <c r="D8" s="147"/>
      <c r="E8" s="148">
        <v>6250</v>
      </c>
      <c r="F8" s="149">
        <v>7500</v>
      </c>
      <c r="G8" s="149">
        <v>26500</v>
      </c>
      <c r="H8" s="149">
        <v>45500</v>
      </c>
      <c r="I8" s="149">
        <v>64500</v>
      </c>
      <c r="J8" s="149">
        <v>83500</v>
      </c>
      <c r="K8" s="149">
        <v>102500</v>
      </c>
      <c r="L8" s="149">
        <v>104600</v>
      </c>
      <c r="M8" s="149">
        <v>106700</v>
      </c>
      <c r="N8" s="149">
        <v>108800</v>
      </c>
      <c r="O8" s="149">
        <v>111000</v>
      </c>
      <c r="P8" s="149">
        <v>113200</v>
      </c>
      <c r="Q8" s="149">
        <v>115500</v>
      </c>
      <c r="R8" s="149">
        <v>117800</v>
      </c>
      <c r="S8" s="149">
        <v>120200</v>
      </c>
      <c r="T8" s="149">
        <v>122600</v>
      </c>
    </row>
    <row r="9" spans="1:20" x14ac:dyDescent="0.25">
      <c r="A9" s="145" t="s">
        <v>130</v>
      </c>
      <c r="B9" s="150" t="s">
        <v>132</v>
      </c>
      <c r="C9" s="150"/>
      <c r="D9" s="151"/>
      <c r="E9" s="152" t="s">
        <v>37</v>
      </c>
      <c r="F9" s="152" t="s">
        <v>26</v>
      </c>
      <c r="G9" s="152" t="s">
        <v>26</v>
      </c>
      <c r="H9" s="152" t="s">
        <v>26</v>
      </c>
      <c r="I9" s="152" t="s">
        <v>26</v>
      </c>
      <c r="J9" s="152" t="s">
        <v>26</v>
      </c>
      <c r="K9" s="152" t="s">
        <v>26</v>
      </c>
      <c r="L9" s="152" t="s">
        <v>26</v>
      </c>
      <c r="M9" s="152" t="s">
        <v>26</v>
      </c>
      <c r="N9" s="152" t="s">
        <v>26</v>
      </c>
      <c r="O9" s="152" t="s">
        <v>26</v>
      </c>
      <c r="P9" s="152" t="s">
        <v>26</v>
      </c>
      <c r="Q9" s="152" t="s">
        <v>26</v>
      </c>
      <c r="R9" s="152" t="s">
        <v>26</v>
      </c>
      <c r="S9" s="152" t="s">
        <v>26</v>
      </c>
      <c r="T9" s="152" t="s">
        <v>26</v>
      </c>
    </row>
    <row r="10" spans="1:20" x14ac:dyDescent="0.25">
      <c r="A10" s="153"/>
      <c r="B10" s="147" t="s">
        <v>133</v>
      </c>
      <c r="C10" s="147"/>
      <c r="D10" s="154"/>
      <c r="E10" s="155">
        <f>SUM(E8:E9)</f>
        <v>6250</v>
      </c>
      <c r="F10" s="155">
        <f>SUM(F8:F9)</f>
        <v>7500</v>
      </c>
      <c r="G10" s="155">
        <f>SUM(G8:G9)</f>
        <v>26500</v>
      </c>
      <c r="H10" s="155">
        <f>SUM(H8:H9)</f>
        <v>45500</v>
      </c>
      <c r="I10" s="155">
        <f>SUM(I8:I9)</f>
        <v>64500</v>
      </c>
      <c r="J10" s="155">
        <f>SUM(J8:J9)</f>
        <v>83500</v>
      </c>
      <c r="K10" s="155">
        <f>SUM(K8:K9)</f>
        <v>102500</v>
      </c>
      <c r="L10" s="155">
        <f>SUM(L8:L9)</f>
        <v>104600</v>
      </c>
      <c r="M10" s="155">
        <f>SUM(M8:M9)</f>
        <v>106700</v>
      </c>
      <c r="N10" s="155">
        <f>SUM(N8:N9)</f>
        <v>108800</v>
      </c>
      <c r="O10" s="155">
        <f>SUM(O8:O9)</f>
        <v>111000</v>
      </c>
      <c r="P10" s="155">
        <f>SUM(P8:P9)</f>
        <v>113200</v>
      </c>
      <c r="Q10" s="155">
        <f>SUM(Q8:Q9)</f>
        <v>115500</v>
      </c>
      <c r="R10" s="155">
        <f>SUM(R8:R9)</f>
        <v>117800</v>
      </c>
      <c r="S10" s="155">
        <f>SUM(S8:S9)</f>
        <v>120200</v>
      </c>
      <c r="T10" s="155">
        <f>SUM(T8:T9)</f>
        <v>122600</v>
      </c>
    </row>
    <row r="11" spans="1:20" hidden="1" x14ac:dyDescent="0.25">
      <c r="A11" s="156"/>
      <c r="B11" s="157" t="s">
        <v>134</v>
      </c>
      <c r="C11" s="158"/>
      <c r="D11" s="159"/>
      <c r="E11" s="160">
        <f>Interest</f>
        <v>0.02</v>
      </c>
      <c r="F11" s="160">
        <f>Interest</f>
        <v>0.02</v>
      </c>
      <c r="G11" s="160">
        <f>Interest</f>
        <v>0.02</v>
      </c>
      <c r="H11" s="160">
        <f>Interest</f>
        <v>0.02</v>
      </c>
      <c r="I11" s="160">
        <f>Interest</f>
        <v>0.02</v>
      </c>
      <c r="J11" s="160">
        <f>Interest</f>
        <v>0.02</v>
      </c>
      <c r="K11" s="160">
        <f>Interest</f>
        <v>0.02</v>
      </c>
      <c r="L11" s="160">
        <f>Interest</f>
        <v>0.02</v>
      </c>
      <c r="M11" s="160">
        <f>Interest</f>
        <v>0.02</v>
      </c>
      <c r="N11" s="160">
        <f>Interest</f>
        <v>0.02</v>
      </c>
      <c r="O11" s="160">
        <f>Interest</f>
        <v>0.02</v>
      </c>
      <c r="P11" s="160">
        <f>Interest</f>
        <v>0.02</v>
      </c>
      <c r="Q11" s="160">
        <f>Interest</f>
        <v>0.02</v>
      </c>
      <c r="R11" s="160">
        <f>Interest</f>
        <v>0.02</v>
      </c>
      <c r="S11" s="160">
        <f>Interest</f>
        <v>0.02</v>
      </c>
      <c r="T11" s="160">
        <f>Interest</f>
        <v>0.02</v>
      </c>
    </row>
    <row r="12" spans="1:20" x14ac:dyDescent="0.25">
      <c r="A12" s="156" t="s">
        <v>130</v>
      </c>
      <c r="B12" s="157" t="s">
        <v>135</v>
      </c>
      <c r="C12" s="158"/>
      <c r="D12" s="159"/>
      <c r="E12" s="161">
        <v>656</v>
      </c>
      <c r="F12" s="162">
        <f>ROUND(F11*(F7+F10/2+F13/2),0)</f>
        <v>876</v>
      </c>
      <c r="G12" s="162">
        <f>ROUND(G11*(G7+G10/2+G13/2),0)</f>
        <v>1060</v>
      </c>
      <c r="H12" s="162">
        <f>ROUND(H11*(H7+H10/2+H13/2),0)</f>
        <v>1689</v>
      </c>
      <c r="I12" s="162">
        <f>ROUND(I11*(I7+I10/2+I13/2),0)</f>
        <v>2428</v>
      </c>
      <c r="J12" s="162">
        <f>ROUND(J11*(J7+J10/2+J13/2),0)</f>
        <v>3561</v>
      </c>
      <c r="K12" s="162">
        <f>ROUND(K11*(K7+K10/2+K13/2),0)</f>
        <v>4744</v>
      </c>
      <c r="L12" s="162">
        <f>ROUND(L11*(L7+L10/2+L13/2),0)</f>
        <v>6162</v>
      </c>
      <c r="M12" s="162">
        <f>ROUND(M11*(M7+M10/2+M13/2),0)</f>
        <v>7564</v>
      </c>
      <c r="N12" s="162">
        <f>ROUND(N11*(N7+N10/2+N13/2),0)</f>
        <v>8810</v>
      </c>
      <c r="O12" s="162">
        <f>ROUND(O11*(O7+O10/2+O13/2),0)</f>
        <v>10957</v>
      </c>
      <c r="P12" s="162">
        <f>ROUND(P11*(P7+P10/2+P13/2),0)</f>
        <v>13419</v>
      </c>
      <c r="Q12" s="162">
        <f>ROUND(Q11*(Q7+Q10/2+Q13/2),0)</f>
        <v>15829</v>
      </c>
      <c r="R12" s="162">
        <f>ROUND(R11*(R7+R10/2+R13/2),0)</f>
        <v>18334</v>
      </c>
      <c r="S12" s="162">
        <f>ROUND(S11*(S7+S10/2+S13/2),0)</f>
        <v>20267</v>
      </c>
      <c r="T12" s="162">
        <f>ROUND(T11*(T7+T10/2+T13/2),0)</f>
        <v>21783</v>
      </c>
    </row>
    <row r="13" spans="1:20" x14ac:dyDescent="0.25">
      <c r="A13" s="156" t="s">
        <v>136</v>
      </c>
      <c r="B13" s="133" t="s">
        <v>120</v>
      </c>
      <c r="C13" s="163"/>
      <c r="D13" s="164"/>
      <c r="E13" s="165">
        <f>-Expenditures!expenditures0</f>
        <v>0</v>
      </c>
      <c r="F13" s="165">
        <f>-Expenditures!expenditures1</f>
        <v>-6120</v>
      </c>
      <c r="G13" s="165">
        <f>-Expenditures!expenditures2</f>
        <v>-11236</v>
      </c>
      <c r="H13" s="165">
        <f>-Expenditures!expenditures3</f>
        <v>0</v>
      </c>
      <c r="I13" s="165">
        <f>-Expenditures!expenditures4</f>
        <v>-39498</v>
      </c>
      <c r="J13" s="165">
        <f>-Expenditures!expenditures5</f>
        <v>0</v>
      </c>
      <c r="K13" s="165">
        <f>-Expenditures!expenditures6</f>
        <v>-74833</v>
      </c>
      <c r="L13" s="165">
        <f>-Expenditures!expenditures7</f>
        <v>0</v>
      </c>
      <c r="M13" s="165">
        <f>-Expenditures!expenditures8</f>
        <v>-83422</v>
      </c>
      <c r="N13" s="165">
        <f>-Expenditures!expenditures9</f>
        <v>-22635</v>
      </c>
      <c r="O13" s="165">
        <f>-Expenditures!expenditures10</f>
        <v>0</v>
      </c>
      <c r="P13" s="165">
        <f>-Expenditures!expenditures11</f>
        <v>0</v>
      </c>
      <c r="Q13" s="165">
        <f>-Expenditures!expenditures12</f>
        <v>-14458</v>
      </c>
      <c r="R13" s="165">
        <f>-Expenditures!expenditures13</f>
        <v>0</v>
      </c>
      <c r="S13" s="165">
        <f>-Expenditures!expenditures14</f>
        <v>-81366</v>
      </c>
      <c r="T13" s="165">
        <f>-Expenditures!expenditures15</f>
        <v>-50363</v>
      </c>
    </row>
    <row r="14" spans="1:20" x14ac:dyDescent="0.25">
      <c r="A14" s="166"/>
      <c r="B14" s="167"/>
      <c r="C14" s="163"/>
      <c r="D14" s="168"/>
      <c r="E14" s="169" t="s">
        <v>59</v>
      </c>
      <c r="F14" s="169" t="s">
        <v>59</v>
      </c>
      <c r="G14" s="169" t="s">
        <v>59</v>
      </c>
      <c r="H14" s="169" t="s">
        <v>59</v>
      </c>
      <c r="I14" s="169" t="s">
        <v>59</v>
      </c>
      <c r="J14" s="169" t="s">
        <v>59</v>
      </c>
      <c r="K14" s="169" t="s">
        <v>59</v>
      </c>
      <c r="L14" s="169" t="s">
        <v>59</v>
      </c>
      <c r="M14" s="169" t="s">
        <v>59</v>
      </c>
      <c r="N14" s="169" t="s">
        <v>59</v>
      </c>
      <c r="O14" s="169" t="s">
        <v>59</v>
      </c>
      <c r="P14" s="169" t="s">
        <v>59</v>
      </c>
      <c r="Q14" s="169" t="s">
        <v>59</v>
      </c>
      <c r="R14" s="169" t="s">
        <v>59</v>
      </c>
      <c r="S14" s="169" t="s">
        <v>59</v>
      </c>
      <c r="T14" s="169" t="s">
        <v>59</v>
      </c>
    </row>
    <row r="15" spans="1:20" x14ac:dyDescent="0.25">
      <c r="A15" s="156"/>
      <c r="B15" s="133" t="s">
        <v>137</v>
      </c>
      <c r="C15" s="163"/>
      <c r="D15" s="170"/>
      <c r="E15" s="171">
        <f>SUM(E7,E10,E12,E13)</f>
        <v>43122.46</v>
      </c>
      <c r="F15" s="171">
        <f>SUM(F7,F10,F12,F13)</f>
        <v>45378.46</v>
      </c>
      <c r="G15" s="171">
        <f>SUM(G7,G10,G12,G13)</f>
        <v>61702.459999999992</v>
      </c>
      <c r="H15" s="171">
        <f>SUM(H7,H10,H12,H13)</f>
        <v>108891.45999999999</v>
      </c>
      <c r="I15" s="171">
        <f>SUM(I7,I10,I12,I13)</f>
        <v>136321.46</v>
      </c>
      <c r="J15" s="171">
        <f>SUM(J7,J10,J12,J13)</f>
        <v>223382.46</v>
      </c>
      <c r="K15" s="171">
        <f>SUM(K7,K10,K12,K13)</f>
        <v>255793.45999999996</v>
      </c>
      <c r="L15" s="171">
        <f>SUM(L7,L10,L12,L13)</f>
        <v>366555.45999999996</v>
      </c>
      <c r="M15" s="171">
        <f>SUM(M7,M10,M12,M13)</f>
        <v>397397.45999999996</v>
      </c>
      <c r="N15" s="171">
        <f>SUM(N7,N10,N12,N13)</f>
        <v>492372.45999999996</v>
      </c>
      <c r="O15" s="171">
        <f>SUM(O7,O10,O12,O13)</f>
        <v>614329.46</v>
      </c>
      <c r="P15" s="171">
        <f>SUM(P7,P10,P12,P13)</f>
        <v>740948.46</v>
      </c>
      <c r="Q15" s="171">
        <f>SUM(Q7,Q10,Q12,Q13)</f>
        <v>857819.46</v>
      </c>
      <c r="R15" s="171">
        <f>SUM(R7,R10,R12,R13)</f>
        <v>993953.46</v>
      </c>
      <c r="S15" s="171">
        <f>SUM(S7,S10,S12,S13)</f>
        <v>1053054.46</v>
      </c>
      <c r="T15" s="171">
        <f>SUM(T7,T10,T12,T13)</f>
        <v>1147074.46</v>
      </c>
    </row>
    <row r="16" spans="1:20" ht="18.75" x14ac:dyDescent="0.3">
      <c r="A16" s="156"/>
      <c r="B16" s="156"/>
      <c r="C16" s="127"/>
      <c r="D16" s="170"/>
      <c r="E16" s="172" t="s">
        <v>26</v>
      </c>
      <c r="F16" s="172" t="s">
        <v>26</v>
      </c>
      <c r="G16" s="172"/>
      <c r="H16" s="172" t="s">
        <v>26</v>
      </c>
      <c r="I16" s="172" t="s">
        <v>26</v>
      </c>
      <c r="J16" s="172" t="s">
        <v>26</v>
      </c>
      <c r="K16" s="172" t="s">
        <v>26</v>
      </c>
      <c r="L16" s="172" t="s">
        <v>26</v>
      </c>
      <c r="M16" s="172" t="s">
        <v>26</v>
      </c>
      <c r="N16" s="172" t="s">
        <v>26</v>
      </c>
      <c r="O16" s="172" t="s">
        <v>26</v>
      </c>
      <c r="P16" s="172" t="s">
        <v>26</v>
      </c>
      <c r="Q16" s="172" t="s">
        <v>26</v>
      </c>
      <c r="R16" s="172" t="s">
        <v>26</v>
      </c>
      <c r="S16" s="172" t="s">
        <v>26</v>
      </c>
      <c r="T16" s="172" t="s">
        <v>26</v>
      </c>
    </row>
    <row r="17" spans="1:20" x14ac:dyDescent="0.25">
      <c r="A17" s="156"/>
      <c r="B17" s="173"/>
      <c r="C17" s="174"/>
      <c r="D17" s="175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</row>
    <row r="18" spans="1:20" x14ac:dyDescent="0.25">
      <c r="A18" s="177"/>
      <c r="B18" s="177"/>
      <c r="C18" s="28"/>
      <c r="D18" s="5"/>
      <c r="E18" s="178"/>
      <c r="F18" s="178"/>
      <c r="G18" s="178"/>
      <c r="H18" s="178"/>
      <c r="I18" s="178"/>
      <c r="J18" s="178"/>
      <c r="K18" s="178"/>
      <c r="L18" s="179"/>
      <c r="M18" s="179"/>
      <c r="N18" s="179"/>
      <c r="O18" s="179"/>
      <c r="P18" s="179"/>
      <c r="Q18" s="179"/>
      <c r="R18" s="179"/>
      <c r="S18" s="179"/>
      <c r="T18" s="179"/>
    </row>
    <row r="19" spans="1:20" x14ac:dyDescent="0.25">
      <c r="A19" s="177"/>
      <c r="B19" s="177"/>
      <c r="C19" s="5"/>
      <c r="D19" s="5"/>
      <c r="E19" s="178"/>
      <c r="F19" s="178"/>
      <c r="G19" s="178"/>
      <c r="H19" s="178"/>
      <c r="I19" s="178"/>
      <c r="J19" s="178"/>
      <c r="K19" s="180"/>
      <c r="L19" s="181"/>
      <c r="M19" s="181"/>
      <c r="N19" s="182"/>
      <c r="O19" s="182"/>
      <c r="P19" s="182"/>
      <c r="Q19" s="182"/>
      <c r="R19" s="182"/>
      <c r="S19" s="182"/>
      <c r="T19" s="182"/>
    </row>
    <row r="20" spans="1:20" x14ac:dyDescent="0.25">
      <c r="A20" s="177"/>
      <c r="B20" s="177"/>
      <c r="C20" s="27"/>
      <c r="D20" s="27"/>
      <c r="E20" s="170"/>
      <c r="F20" s="170"/>
      <c r="G20" s="170"/>
      <c r="H20" s="170"/>
      <c r="I20" s="170"/>
      <c r="J20" s="170"/>
      <c r="K20" s="180"/>
      <c r="L20" s="180"/>
      <c r="M20" s="180"/>
      <c r="N20" s="180"/>
      <c r="O20" s="180"/>
      <c r="P20" s="180"/>
      <c r="Q20" s="180"/>
      <c r="R20" s="180"/>
      <c r="S20" s="180"/>
      <c r="T20" s="180"/>
    </row>
    <row r="21" spans="1:20" x14ac:dyDescent="0.25">
      <c r="A21" s="177"/>
      <c r="B21" s="177"/>
      <c r="C21" s="183"/>
      <c r="D21" s="27"/>
      <c r="E21" s="178"/>
      <c r="F21" s="184"/>
      <c r="G21" s="170"/>
      <c r="H21" s="170"/>
      <c r="I21" s="170"/>
      <c r="J21" s="170"/>
      <c r="K21" s="180"/>
      <c r="L21" s="185"/>
      <c r="M21" s="186"/>
      <c r="N21" s="186"/>
      <c r="O21" s="186"/>
      <c r="P21" s="186"/>
      <c r="Q21" s="186"/>
      <c r="R21" s="186"/>
      <c r="S21" s="186"/>
      <c r="T21" s="186"/>
    </row>
    <row r="22" spans="1:20" x14ac:dyDescent="0.25">
      <c r="A22" s="177"/>
      <c r="B22" s="177"/>
      <c r="C22" s="27"/>
      <c r="D22" s="27"/>
      <c r="E22" s="184"/>
      <c r="F22" s="187"/>
      <c r="G22" s="170"/>
      <c r="H22" s="170"/>
      <c r="I22" s="170"/>
      <c r="J22" s="170"/>
      <c r="K22" s="180"/>
      <c r="L22" s="185"/>
      <c r="M22" s="186"/>
      <c r="N22" s="186"/>
      <c r="O22" s="186"/>
      <c r="P22" s="186"/>
      <c r="Q22" s="186"/>
      <c r="R22" s="186"/>
      <c r="S22" s="186"/>
      <c r="T22" s="186"/>
    </row>
    <row r="23" spans="1:20" x14ac:dyDescent="0.25">
      <c r="A23" s="177"/>
      <c r="B23" s="177"/>
      <c r="C23" s="27"/>
      <c r="D23" s="57"/>
      <c r="E23" s="170"/>
      <c r="F23" s="170"/>
      <c r="G23" s="170"/>
      <c r="H23" s="170"/>
      <c r="I23" s="170"/>
      <c r="J23" s="170"/>
      <c r="K23" s="180"/>
      <c r="L23" s="185"/>
      <c r="M23" s="186"/>
      <c r="N23" s="186"/>
      <c r="O23" s="186"/>
      <c r="P23" s="186"/>
      <c r="Q23" s="186"/>
      <c r="R23" s="186"/>
      <c r="S23" s="186"/>
      <c r="T23" s="186"/>
    </row>
    <row r="24" spans="1:20" x14ac:dyDescent="0.25">
      <c r="A24" s="177"/>
      <c r="B24" s="177"/>
      <c r="C24" s="62"/>
      <c r="D24" s="57"/>
      <c r="E24" s="188"/>
      <c r="F24" s="188"/>
      <c r="G24" s="188"/>
      <c r="H24" s="188"/>
      <c r="I24" s="188"/>
      <c r="J24" s="188"/>
      <c r="K24" s="180"/>
      <c r="L24" s="189"/>
      <c r="M24" s="180"/>
      <c r="N24" s="189"/>
      <c r="O24" s="189"/>
      <c r="P24" s="189"/>
      <c r="Q24" s="189"/>
      <c r="R24" s="189"/>
      <c r="S24" s="189"/>
      <c r="T24" s="189"/>
    </row>
    <row r="25" spans="1:20" x14ac:dyDescent="0.25">
      <c r="A25" s="156"/>
      <c r="B25" s="156"/>
      <c r="C25" s="190" t="s">
        <v>138</v>
      </c>
      <c r="D25" s="127"/>
      <c r="E25" s="127"/>
      <c r="F25" s="191" t="s">
        <v>139</v>
      </c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</row>
    <row r="26" spans="1:20" ht="21" thickBot="1" x14ac:dyDescent="0.35">
      <c r="A26" s="156"/>
      <c r="B26" s="156"/>
      <c r="C26" s="193" t="s">
        <v>26</v>
      </c>
      <c r="D26" s="133"/>
      <c r="E26" s="194"/>
      <c r="F26" s="195">
        <v>2035</v>
      </c>
      <c r="G26" s="195">
        <v>2036</v>
      </c>
      <c r="H26" s="195">
        <v>2037</v>
      </c>
      <c r="I26" s="195">
        <v>2038</v>
      </c>
      <c r="J26" s="195">
        <v>2039</v>
      </c>
      <c r="K26" s="195">
        <v>2040</v>
      </c>
      <c r="L26" s="195">
        <v>2041</v>
      </c>
      <c r="M26" s="195">
        <v>2042</v>
      </c>
      <c r="N26" s="195">
        <v>2043</v>
      </c>
      <c r="O26" s="195">
        <v>2044</v>
      </c>
      <c r="P26" s="195">
        <v>2045</v>
      </c>
      <c r="Q26" s="195">
        <v>2046</v>
      </c>
      <c r="R26" s="195">
        <v>2047</v>
      </c>
      <c r="S26" s="195">
        <v>2048</v>
      </c>
      <c r="T26" s="195">
        <v>2049</v>
      </c>
    </row>
    <row r="27" spans="1:20" x14ac:dyDescent="0.25">
      <c r="A27" s="196"/>
      <c r="B27" s="140" t="s">
        <v>140</v>
      </c>
      <c r="C27" s="141"/>
      <c r="D27" s="142"/>
      <c r="E27" s="197"/>
      <c r="F27" s="144">
        <f>T15</f>
        <v>1147074.46</v>
      </c>
      <c r="G27" s="144">
        <f>F35</f>
        <v>781853.46</v>
      </c>
      <c r="H27" s="144">
        <f>G35</f>
        <v>926366.46</v>
      </c>
      <c r="I27" s="144">
        <f>H35</f>
        <v>650754.46</v>
      </c>
      <c r="J27" s="144">
        <f>I35</f>
        <v>335060.45999999996</v>
      </c>
      <c r="K27" s="144">
        <f>J35</f>
        <v>121026.45999999996</v>
      </c>
      <c r="L27" s="144">
        <f>K35</f>
        <v>189884.45999999996</v>
      </c>
      <c r="M27" s="144">
        <f>L35</f>
        <v>327414.45999999996</v>
      </c>
      <c r="N27" s="144">
        <f>M35</f>
        <v>440875.45999999996</v>
      </c>
      <c r="O27" s="144">
        <f>N35</f>
        <v>481174.45999999996</v>
      </c>
      <c r="P27" s="144">
        <f>O35</f>
        <v>571688.46</v>
      </c>
      <c r="Q27" s="144">
        <f>P35</f>
        <v>613222.46</v>
      </c>
      <c r="R27" s="144">
        <f>Q35</f>
        <v>749002.46</v>
      </c>
      <c r="S27" s="144">
        <f>R35</f>
        <v>652823.46</v>
      </c>
      <c r="T27" s="144">
        <f>S35</f>
        <v>724057.46</v>
      </c>
    </row>
    <row r="28" spans="1:20" x14ac:dyDescent="0.25">
      <c r="A28" s="156" t="s">
        <v>130</v>
      </c>
      <c r="B28" s="146" t="s">
        <v>131</v>
      </c>
      <c r="C28" s="147"/>
      <c r="D28" s="147"/>
      <c r="E28" s="198"/>
      <c r="F28" s="149">
        <v>125100</v>
      </c>
      <c r="G28" s="149">
        <v>127600</v>
      </c>
      <c r="H28" s="149">
        <v>130200</v>
      </c>
      <c r="I28" s="149">
        <v>132800</v>
      </c>
      <c r="J28" s="149">
        <v>135500</v>
      </c>
      <c r="K28" s="149">
        <v>135500</v>
      </c>
      <c r="L28" s="149">
        <v>135500</v>
      </c>
      <c r="M28" s="149">
        <v>135500</v>
      </c>
      <c r="N28" s="149">
        <v>135500</v>
      </c>
      <c r="O28" s="149">
        <v>138200</v>
      </c>
      <c r="P28" s="149">
        <v>141000</v>
      </c>
      <c r="Q28" s="149">
        <v>143800</v>
      </c>
      <c r="R28" s="149">
        <v>146700</v>
      </c>
      <c r="S28" s="149">
        <v>149600</v>
      </c>
      <c r="T28" s="149">
        <v>152600</v>
      </c>
    </row>
    <row r="29" spans="1:20" x14ac:dyDescent="0.25">
      <c r="A29" s="156" t="s">
        <v>130</v>
      </c>
      <c r="B29" s="199" t="s">
        <v>132</v>
      </c>
      <c r="C29" s="151"/>
      <c r="D29" s="151"/>
      <c r="E29" s="200"/>
      <c r="F29" s="201" t="s">
        <v>26</v>
      </c>
      <c r="G29" s="201" t="s">
        <v>26</v>
      </c>
      <c r="H29" s="201" t="s">
        <v>26</v>
      </c>
      <c r="I29" s="201" t="s">
        <v>26</v>
      </c>
      <c r="J29" s="201" t="s">
        <v>26</v>
      </c>
      <c r="K29" s="201" t="s">
        <v>26</v>
      </c>
      <c r="L29" s="201" t="s">
        <v>26</v>
      </c>
      <c r="M29" s="201" t="s">
        <v>26</v>
      </c>
      <c r="N29" s="201" t="s">
        <v>26</v>
      </c>
      <c r="O29" s="201" t="s">
        <v>26</v>
      </c>
      <c r="P29" s="201" t="s">
        <v>26</v>
      </c>
      <c r="Q29" s="201" t="s">
        <v>26</v>
      </c>
      <c r="R29" s="201" t="s">
        <v>26</v>
      </c>
      <c r="S29" s="201" t="s">
        <v>26</v>
      </c>
      <c r="T29" s="201" t="s">
        <v>26</v>
      </c>
    </row>
    <row r="30" spans="1:20" x14ac:dyDescent="0.25">
      <c r="A30" s="156"/>
      <c r="B30" s="147" t="s">
        <v>141</v>
      </c>
      <c r="C30" s="147"/>
      <c r="D30" s="147"/>
      <c r="E30" s="198"/>
      <c r="F30" s="202">
        <f>SUM(F28:F29)</f>
        <v>125100</v>
      </c>
      <c r="G30" s="202">
        <f>SUM(G28:G29)</f>
        <v>127600</v>
      </c>
      <c r="H30" s="202">
        <f>SUM(H28:H29)</f>
        <v>130200</v>
      </c>
      <c r="I30" s="202">
        <f>SUM(I28:I29)</f>
        <v>132800</v>
      </c>
      <c r="J30" s="202">
        <f>SUM(J28:J29)</f>
        <v>135500</v>
      </c>
      <c r="K30" s="202">
        <f>SUM(K28:K29)</f>
        <v>135500</v>
      </c>
      <c r="L30" s="202">
        <f>SUM(L28:L29)</f>
        <v>135500</v>
      </c>
      <c r="M30" s="202">
        <f>SUM(M28:M29)</f>
        <v>135500</v>
      </c>
      <c r="N30" s="202">
        <f>SUM(N28:N29)</f>
        <v>135500</v>
      </c>
      <c r="O30" s="202">
        <f>SUM(O28:O29)</f>
        <v>138200</v>
      </c>
      <c r="P30" s="202">
        <f>SUM(P28:P29)</f>
        <v>141000</v>
      </c>
      <c r="Q30" s="202">
        <f>SUM(Q28:Q29)</f>
        <v>143800</v>
      </c>
      <c r="R30" s="202">
        <f>SUM(R28:R29)</f>
        <v>146700</v>
      </c>
      <c r="S30" s="202">
        <f>SUM(S28:S29)</f>
        <v>149600</v>
      </c>
      <c r="T30" s="202">
        <f>SUM(T28:T29)</f>
        <v>152600</v>
      </c>
    </row>
    <row r="31" spans="1:20" hidden="1" x14ac:dyDescent="0.25">
      <c r="A31" s="156"/>
      <c r="B31" s="157" t="s">
        <v>134</v>
      </c>
      <c r="C31" s="158"/>
      <c r="D31" s="159"/>
      <c r="E31" s="203"/>
      <c r="F31" s="204">
        <f>Interest</f>
        <v>0.02</v>
      </c>
      <c r="G31" s="204">
        <f>Interest</f>
        <v>0.02</v>
      </c>
      <c r="H31" s="204">
        <f>Interest</f>
        <v>0.02</v>
      </c>
      <c r="I31" s="204">
        <f>Interest</f>
        <v>0.02</v>
      </c>
      <c r="J31" s="204">
        <f>Interest</f>
        <v>0.02</v>
      </c>
      <c r="K31" s="204">
        <f>Interest</f>
        <v>0.02</v>
      </c>
      <c r="L31" s="204">
        <f>Interest</f>
        <v>0.02</v>
      </c>
      <c r="M31" s="204">
        <f>Interest</f>
        <v>0.02</v>
      </c>
      <c r="N31" s="204">
        <f>Interest</f>
        <v>0.02</v>
      </c>
      <c r="O31" s="204">
        <f>Interest</f>
        <v>0.02</v>
      </c>
      <c r="P31" s="204">
        <f>Interest</f>
        <v>0.02</v>
      </c>
      <c r="Q31" s="204">
        <f>Interest</f>
        <v>0.02</v>
      </c>
      <c r="R31" s="204">
        <f>Interest</f>
        <v>0.02</v>
      </c>
      <c r="S31" s="204">
        <f>Interest</f>
        <v>0.02</v>
      </c>
      <c r="T31" s="204">
        <f>Interest</f>
        <v>0.02</v>
      </c>
    </row>
    <row r="32" spans="1:20" x14ac:dyDescent="0.25">
      <c r="A32" s="156" t="s">
        <v>130</v>
      </c>
      <c r="B32" s="157" t="s">
        <v>142</v>
      </c>
      <c r="C32" s="158"/>
      <c r="D32" s="159"/>
      <c r="E32" s="203"/>
      <c r="F32" s="162">
        <f>ROUND(F31*(F27+F30/2+F33/2),0)</f>
        <v>19098</v>
      </c>
      <c r="G32" s="162">
        <f>ROUND(G31*(G27+G30/2+G33/2),0)</f>
        <v>16913</v>
      </c>
      <c r="H32" s="162">
        <f>ROUND(H31*(H27+H30/2+H33/2),0)</f>
        <v>15615</v>
      </c>
      <c r="I32" s="162">
        <f>ROUND(I31*(I27+I30/2+I33/2),0)</f>
        <v>9761</v>
      </c>
      <c r="J32" s="162">
        <f>ROUND(J31*(J27+J30/2+J33/2),0)</f>
        <v>4516</v>
      </c>
      <c r="K32" s="162">
        <f>ROUND(K31*(K27+K30/2+K33/2),0)</f>
        <v>3078</v>
      </c>
      <c r="L32" s="162">
        <f>ROUND(L31*(L27+L30/2+L33/2),0)</f>
        <v>5122</v>
      </c>
      <c r="M32" s="162">
        <f>ROUND(M31*(M27+M30/2+M33/2),0)</f>
        <v>7607</v>
      </c>
      <c r="N32" s="162">
        <f>ROUND(N31*(N27+N30/2+N33/2),0)</f>
        <v>9129</v>
      </c>
      <c r="O32" s="162">
        <f>ROUND(O31*(O27+O30/2+O33/2),0)</f>
        <v>10424</v>
      </c>
      <c r="P32" s="162">
        <f>ROUND(P31*(P27+P30/2+P33/2),0)</f>
        <v>11732</v>
      </c>
      <c r="Q32" s="162">
        <f>ROUND(Q31*(Q27+Q30/2+Q33/2),0)</f>
        <v>13487</v>
      </c>
      <c r="R32" s="162">
        <f>ROUND(R31*(R27+R30/2+R33/2),0)</f>
        <v>13879</v>
      </c>
      <c r="S32" s="162">
        <f>ROUND(S31*(S27+S30/2+S33/2),0)</f>
        <v>13632</v>
      </c>
      <c r="T32" s="162">
        <f>ROUND(T31*(T27+T30/2+T33/2),0)</f>
        <v>15717</v>
      </c>
    </row>
    <row r="33" spans="1:20" x14ac:dyDescent="0.25">
      <c r="A33" s="156" t="s">
        <v>136</v>
      </c>
      <c r="B33" s="133" t="s">
        <v>120</v>
      </c>
      <c r="C33" s="163"/>
      <c r="D33" s="164"/>
      <c r="E33" s="127"/>
      <c r="F33" s="165">
        <f>-Expenditures!expenditures16</f>
        <v>-509419</v>
      </c>
      <c r="G33" s="165">
        <f>-Expenditures!expenditures17</f>
        <v>0</v>
      </c>
      <c r="H33" s="165">
        <f>-Expenditures!expenditures18</f>
        <v>-421427</v>
      </c>
      <c r="I33" s="165">
        <f>-Expenditures!expenditures19</f>
        <v>-458255</v>
      </c>
      <c r="J33" s="165">
        <f>-Expenditures!expenditures20</f>
        <v>-354050</v>
      </c>
      <c r="K33" s="165">
        <f>-Expenditures!expenditures21</f>
        <v>-69720</v>
      </c>
      <c r="L33" s="165">
        <f>-Expenditures!expenditures22</f>
        <v>-3092</v>
      </c>
      <c r="M33" s="165">
        <f>-Expenditures!expenditures23</f>
        <v>-29646</v>
      </c>
      <c r="N33" s="165">
        <f>-Expenditures!expenditures24</f>
        <v>-104330</v>
      </c>
      <c r="O33" s="165">
        <f>-Expenditures!expenditures25</f>
        <v>-58110</v>
      </c>
      <c r="P33" s="165">
        <f>-Expenditures!expenditures26</f>
        <v>-111198</v>
      </c>
      <c r="Q33" s="165">
        <f>-Expenditures!expenditures27</f>
        <v>-21507</v>
      </c>
      <c r="R33" s="165">
        <f>-Expenditures!expenditures28</f>
        <v>-256758</v>
      </c>
      <c r="S33" s="165">
        <f>-Expenditures!expenditures29</f>
        <v>-91998</v>
      </c>
      <c r="T33" s="165">
        <f>-Expenditures!expenditures30</f>
        <v>-28982</v>
      </c>
    </row>
    <row r="34" spans="1:20" x14ac:dyDescent="0.25">
      <c r="A34" s="166"/>
      <c r="B34" s="167"/>
      <c r="C34" s="163"/>
      <c r="D34" s="168"/>
      <c r="E34" s="169"/>
      <c r="F34" s="169" t="s">
        <v>59</v>
      </c>
      <c r="G34" s="169" t="s">
        <v>59</v>
      </c>
      <c r="H34" s="169" t="s">
        <v>59</v>
      </c>
      <c r="I34" s="169" t="s">
        <v>59</v>
      </c>
      <c r="J34" s="169" t="s">
        <v>59</v>
      </c>
      <c r="K34" s="169" t="s">
        <v>59</v>
      </c>
      <c r="L34" s="169" t="s">
        <v>59</v>
      </c>
      <c r="M34" s="169" t="s">
        <v>59</v>
      </c>
      <c r="N34" s="169" t="s">
        <v>59</v>
      </c>
      <c r="O34" s="169" t="s">
        <v>59</v>
      </c>
      <c r="P34" s="169" t="s">
        <v>59</v>
      </c>
      <c r="Q34" s="169" t="s">
        <v>59</v>
      </c>
      <c r="R34" s="169" t="s">
        <v>59</v>
      </c>
      <c r="S34" s="169" t="s">
        <v>59</v>
      </c>
      <c r="T34" s="169" t="s">
        <v>59</v>
      </c>
    </row>
    <row r="35" spans="1:20" x14ac:dyDescent="0.25">
      <c r="A35" s="156"/>
      <c r="B35" s="133" t="s">
        <v>137</v>
      </c>
      <c r="C35" s="163"/>
      <c r="D35" s="205"/>
      <c r="E35" s="206"/>
      <c r="F35" s="171">
        <f>SUM(F27,F30,F32,F33)</f>
        <v>781853.46</v>
      </c>
      <c r="G35" s="171">
        <f>SUM(G27,G30,G32,G33)</f>
        <v>926366.46</v>
      </c>
      <c r="H35" s="171">
        <f>SUM(H27,H30,H32,H33)</f>
        <v>650754.46</v>
      </c>
      <c r="I35" s="171">
        <f>SUM(I27,I30,I32,I33)</f>
        <v>335060.45999999996</v>
      </c>
      <c r="J35" s="171">
        <f>SUM(J27,J30,J32,J33)</f>
        <v>121026.45999999996</v>
      </c>
      <c r="K35" s="171">
        <f>SUM(K27,K30,K32,K33)</f>
        <v>189884.45999999996</v>
      </c>
      <c r="L35" s="171">
        <f>SUM(L27,L30,L32,L33)</f>
        <v>327414.45999999996</v>
      </c>
      <c r="M35" s="171">
        <f>SUM(M27,M30,M32,M33)</f>
        <v>440875.45999999996</v>
      </c>
      <c r="N35" s="171">
        <f>SUM(N27,N30,N32,N33)</f>
        <v>481174.45999999996</v>
      </c>
      <c r="O35" s="171">
        <f>SUM(O27,O30,O32,O33)</f>
        <v>571688.46</v>
      </c>
      <c r="P35" s="171">
        <f>SUM(P27,P30,P32,P33)</f>
        <v>613222.46</v>
      </c>
      <c r="Q35" s="171">
        <f>SUM(Q27,Q30,Q32,Q33)</f>
        <v>749002.46</v>
      </c>
      <c r="R35" s="171">
        <f>SUM(R27,R30,R32,R33)</f>
        <v>652823.46</v>
      </c>
      <c r="S35" s="171">
        <f>SUM(S27,S30,S32,S33)</f>
        <v>724057.46</v>
      </c>
      <c r="T35" s="171">
        <f>SUM(T27,T30,T32,T33)</f>
        <v>863392.46</v>
      </c>
    </row>
    <row r="36" spans="1:20" ht="18.75" x14ac:dyDescent="0.3">
      <c r="A36" s="156"/>
      <c r="B36" s="156"/>
      <c r="C36" s="127"/>
      <c r="D36" s="170"/>
      <c r="E36" s="192"/>
      <c r="F36" s="207" t="s">
        <v>26</v>
      </c>
      <c r="G36" s="207" t="s">
        <v>26</v>
      </c>
      <c r="H36" s="207" t="s">
        <v>26</v>
      </c>
      <c r="I36" s="207" t="s">
        <v>26</v>
      </c>
      <c r="J36" s="207" t="s">
        <v>143</v>
      </c>
      <c r="K36" s="207" t="s">
        <v>26</v>
      </c>
      <c r="L36" s="207" t="s">
        <v>26</v>
      </c>
      <c r="M36" s="207" t="s">
        <v>26</v>
      </c>
      <c r="N36" s="207" t="s">
        <v>26</v>
      </c>
      <c r="O36" s="207" t="s">
        <v>26</v>
      </c>
      <c r="P36" s="207" t="s">
        <v>26</v>
      </c>
      <c r="Q36" s="207" t="s">
        <v>26</v>
      </c>
      <c r="R36" s="207" t="s">
        <v>26</v>
      </c>
      <c r="S36" s="207" t="s">
        <v>26</v>
      </c>
      <c r="T36" s="207" t="s">
        <v>144</v>
      </c>
    </row>
    <row r="37" spans="1:20" x14ac:dyDescent="0.25">
      <c r="A37" s="156"/>
      <c r="B37" s="208"/>
      <c r="C37" s="209"/>
      <c r="D37" s="175"/>
      <c r="E37" s="210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</row>
    <row r="38" spans="1:20" x14ac:dyDescent="0.25">
      <c r="A38" s="156"/>
      <c r="B38" s="208"/>
      <c r="C38" s="211"/>
      <c r="D38" s="127"/>
      <c r="E38" s="212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213"/>
    </row>
    <row r="39" spans="1:20" x14ac:dyDescent="0.25">
      <c r="A39" s="156"/>
      <c r="B39" s="208"/>
      <c r="C39" s="211"/>
      <c r="D39" s="127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163"/>
    </row>
    <row r="40" spans="1:20" x14ac:dyDescent="0.25">
      <c r="A40" s="156"/>
      <c r="B40" s="208"/>
      <c r="C40" s="211"/>
      <c r="D40" s="127"/>
      <c r="E40" s="212"/>
      <c r="F40" s="212"/>
      <c r="G40" s="212"/>
      <c r="H40" s="212"/>
      <c r="I40" s="212"/>
      <c r="J40" s="212"/>
      <c r="K40" s="212"/>
      <c r="L40" s="214"/>
      <c r="M40" s="212"/>
      <c r="N40" s="212"/>
      <c r="O40" s="212"/>
      <c r="P40" s="212"/>
      <c r="Q40" s="212"/>
      <c r="R40" s="212"/>
      <c r="S40" s="212"/>
      <c r="T40" s="212"/>
    </row>
    <row r="41" spans="1:20" x14ac:dyDescent="0.25">
      <c r="A41" s="215" t="s">
        <v>23</v>
      </c>
      <c r="B41" s="156"/>
      <c r="C41" s="131"/>
      <c r="D41" s="216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</row>
    <row r="42" spans="1:20" x14ac:dyDescent="0.25">
      <c r="A42" s="129" t="s">
        <v>145</v>
      </c>
      <c r="B42" s="173" t="s">
        <v>146</v>
      </c>
      <c r="C42" s="127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92"/>
      <c r="O42" s="163"/>
      <c r="P42" s="163"/>
      <c r="Q42" s="163"/>
      <c r="R42" s="163"/>
      <c r="S42" s="163"/>
      <c r="T42" s="163"/>
    </row>
    <row r="43" spans="1:20" x14ac:dyDescent="0.25">
      <c r="A43" s="129" t="s">
        <v>147</v>
      </c>
      <c r="B43" s="192" t="s">
        <v>148</v>
      </c>
      <c r="C43" s="163"/>
      <c r="D43" s="170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</row>
    <row r="44" spans="1:20" x14ac:dyDescent="0.25">
      <c r="A44" s="129" t="s">
        <v>149</v>
      </c>
      <c r="B44" s="217">
        <f>[0]!Interest</f>
        <v>0.02</v>
      </c>
      <c r="C44" s="192" t="s">
        <v>150</v>
      </c>
      <c r="D44" s="170"/>
      <c r="E44" s="163"/>
      <c r="F44" s="218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</row>
    <row r="45" spans="1:20" x14ac:dyDescent="0.25">
      <c r="A45" s="129" t="s">
        <v>151</v>
      </c>
      <c r="B45" s="219" t="s">
        <v>152</v>
      </c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</row>
    <row r="46" spans="1:20" x14ac:dyDescent="0.25">
      <c r="A46" s="129" t="s">
        <v>153</v>
      </c>
      <c r="B46" s="192" t="s">
        <v>154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</row>
    <row r="56" spans="1:1" x14ac:dyDescent="0.25">
      <c r="A56" t="s">
        <v>155</v>
      </c>
    </row>
    <row r="57" spans="1:1" x14ac:dyDescent="0.25">
      <c r="A57" t="s">
        <v>156</v>
      </c>
    </row>
  </sheetData>
  <mergeCells count="1">
    <mergeCell ref="B9:C9"/>
  </mergeCells>
  <pageMargins left="0.7" right="0.7" top="0.75" bottom="0.75" header="0.3" footer="0.3"/>
  <pageSetup scale="45" orientation="landscape" horizontalDpi="1200" verticalDpi="1200" r:id="rId1"/>
  <headerFooter>
    <oddHeader>&amp;RPage &amp;P of &amp;N</oddHeader>
    <oddFooter>&amp;R&amp;A - Page 3.5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55</vt:i4>
      </vt:variant>
    </vt:vector>
  </HeadingPairs>
  <TitlesOfParts>
    <vt:vector size="58" baseType="lpstr">
      <vt:lpstr>Property Info</vt:lpstr>
      <vt:lpstr>Expenditures</vt:lpstr>
      <vt:lpstr>Funding Plan</vt:lpstr>
      <vt:lpstr>Beginning_Reserve_Balance</vt:lpstr>
      <vt:lpstr>Client_City</vt:lpstr>
      <vt:lpstr>Client_Long</vt:lpstr>
      <vt:lpstr>Client_State</vt:lpstr>
      <vt:lpstr>'Funding Plan'!comprises</vt:lpstr>
      <vt:lpstr>Current_Fiscal_Year</vt:lpstr>
      <vt:lpstr>Current_Reserve_Contributions</vt:lpstr>
      <vt:lpstr>Date_of_Inspection</vt:lpstr>
      <vt:lpstr>Expenditures!expenditures</vt:lpstr>
      <vt:lpstr>Expenditures!expenditures0</vt:lpstr>
      <vt:lpstr>Expenditures!expenditures1</vt:lpstr>
      <vt:lpstr>Expenditures!expenditures10</vt:lpstr>
      <vt:lpstr>Expenditures!expenditures11</vt:lpstr>
      <vt:lpstr>Expenditures!expenditures12</vt:lpstr>
      <vt:lpstr>Expenditures!expenditures13</vt:lpstr>
      <vt:lpstr>Expenditures!expenditures14</vt:lpstr>
      <vt:lpstr>Expenditures!expenditures15</vt:lpstr>
      <vt:lpstr>Expenditures!expenditures16</vt:lpstr>
      <vt:lpstr>Expenditures!expenditures17</vt:lpstr>
      <vt:lpstr>Expenditures!expenditures18</vt:lpstr>
      <vt:lpstr>Expenditures!expenditures19</vt:lpstr>
      <vt:lpstr>Expenditures!expenditures2</vt:lpstr>
      <vt:lpstr>Expenditures!expenditures20</vt:lpstr>
      <vt:lpstr>Expenditures!expenditures21</vt:lpstr>
      <vt:lpstr>Expenditures!expenditures22</vt:lpstr>
      <vt:lpstr>Expenditures!expenditures23</vt:lpstr>
      <vt:lpstr>Expenditures!expenditures24</vt:lpstr>
      <vt:lpstr>Expenditures!expenditures25</vt:lpstr>
      <vt:lpstr>Expenditures!expenditures26</vt:lpstr>
      <vt:lpstr>Expenditures!expenditures27</vt:lpstr>
      <vt:lpstr>Expenditures!expenditures28</vt:lpstr>
      <vt:lpstr>Expenditures!expenditures29</vt:lpstr>
      <vt:lpstr>Expenditures!expenditures3</vt:lpstr>
      <vt:lpstr>Expenditures!expenditures30</vt:lpstr>
      <vt:lpstr>Expenditures!expenditures4</vt:lpstr>
      <vt:lpstr>Expenditures!expenditures5</vt:lpstr>
      <vt:lpstr>Expenditures!expenditures6</vt:lpstr>
      <vt:lpstr>Expenditures!expenditures7</vt:lpstr>
      <vt:lpstr>Expenditures!expenditures8</vt:lpstr>
      <vt:lpstr>Expenditures!expenditures9</vt:lpstr>
      <vt:lpstr>First_Year_of_Recommendation</vt:lpstr>
      <vt:lpstr>Fiscal_Year_Beginning</vt:lpstr>
      <vt:lpstr>Frequency_of_Contributions_Number</vt:lpstr>
      <vt:lpstr>Expenditures!inflation</vt:lpstr>
      <vt:lpstr>Inflation</vt:lpstr>
      <vt:lpstr>'Funding Plan'!Interest</vt:lpstr>
      <vt:lpstr>Interest</vt:lpstr>
      <vt:lpstr>Number_of_Buildings</vt:lpstr>
      <vt:lpstr>Number_of_Units</vt:lpstr>
      <vt:lpstr>Expenditures!Print_Area</vt:lpstr>
      <vt:lpstr>Expenditures!Print_Titles</vt:lpstr>
      <vt:lpstr>Reference_Number</vt:lpstr>
      <vt:lpstr>Remaining_Budgeted_Months</vt:lpstr>
      <vt:lpstr>Study_Length</vt:lpstr>
      <vt:lpstr>version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Bolda</dc:creator>
  <cp:lastModifiedBy>Nico Deyo</cp:lastModifiedBy>
  <dcterms:created xsi:type="dcterms:W3CDTF">2013-02-27T21:44:57Z</dcterms:created>
  <dcterms:modified xsi:type="dcterms:W3CDTF">2020-04-24T19:35:18Z</dcterms:modified>
</cp:coreProperties>
</file>